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-195" windowWidth="15330" windowHeight="4935" tabRatio="571"/>
  </bookViews>
  <sheets>
    <sheet name="Несп.у-ща" sheetId="1" r:id="rId1"/>
  </sheets>
  <calcPr calcId="145621"/>
</workbook>
</file>

<file path=xl/calcChain.xml><?xml version="1.0" encoding="utf-8"?>
<calcChain xmlns="http://schemas.openxmlformats.org/spreadsheetml/2006/main">
  <c r="Q20" i="1" l="1"/>
  <c r="W17" i="1" l="1"/>
  <c r="W16" i="1"/>
  <c r="W15" i="1"/>
  <c r="W14" i="1"/>
  <c r="W13" i="1"/>
  <c r="W12" i="1"/>
  <c r="W11" i="1"/>
  <c r="W10" i="1"/>
  <c r="W9" i="1"/>
  <c r="W8" i="1"/>
  <c r="E17" i="1" l="1"/>
  <c r="E16" i="1"/>
  <c r="E15" i="1"/>
  <c r="E14" i="1"/>
  <c r="E13" i="1"/>
  <c r="E12" i="1"/>
  <c r="E11" i="1"/>
  <c r="E10" i="1"/>
  <c r="E9" i="1"/>
  <c r="E8" i="1"/>
  <c r="CA9" i="1" l="1"/>
  <c r="CA8" i="1"/>
  <c r="BZ9" i="1"/>
  <c r="BZ8" i="1"/>
  <c r="BV9" i="1"/>
  <c r="CC9" i="1" s="1"/>
  <c r="BV8" i="1"/>
  <c r="CC8" i="1" s="1"/>
  <c r="BI12" i="1" l="1"/>
  <c r="BC12" i="1"/>
  <c r="BC17" i="1"/>
  <c r="BI17" i="1" s="1"/>
  <c r="AV18" i="1"/>
  <c r="AW18" i="1" s="1"/>
  <c r="V17" i="1" l="1"/>
  <c r="V16" i="1"/>
  <c r="V13" i="1"/>
  <c r="V9" i="1"/>
  <c r="R16" i="1"/>
  <c r="U16" i="1"/>
  <c r="R13" i="1"/>
  <c r="U13" i="1" s="1"/>
  <c r="L9" i="1"/>
  <c r="I9" i="1"/>
  <c r="R11" i="1"/>
  <c r="U11" i="1" s="1"/>
  <c r="R14" i="1"/>
  <c r="R10" i="1"/>
  <c r="R8" i="1"/>
  <c r="U19" i="1" l="1"/>
  <c r="M9" i="1"/>
  <c r="N9" i="1" s="1"/>
  <c r="L19" i="1"/>
  <c r="BU19" i="1" l="1"/>
  <c r="BL17" i="1" l="1"/>
  <c r="BL16" i="1"/>
  <c r="BL14" i="1"/>
  <c r="BL13" i="1"/>
  <c r="BL12" i="1"/>
  <c r="BL11" i="1"/>
  <c r="BL10" i="1"/>
  <c r="BL9" i="1"/>
  <c r="BL8" i="1"/>
  <c r="BM17" i="1"/>
  <c r="BM16" i="1"/>
  <c r="BL15" i="1"/>
  <c r="BM15" i="1"/>
  <c r="BM14" i="1"/>
  <c r="BM13" i="1"/>
  <c r="BM12" i="1"/>
  <c r="BM11" i="1"/>
  <c r="BM10" i="1"/>
  <c r="BM9" i="1"/>
  <c r="BM8" i="1"/>
  <c r="V14" i="1"/>
  <c r="V10" i="1"/>
  <c r="V8" i="1"/>
  <c r="H19" i="1"/>
  <c r="J8" i="1"/>
  <c r="J9" i="1"/>
  <c r="BM19" i="1" l="1"/>
  <c r="BE9" i="1"/>
  <c r="BD9" i="1"/>
  <c r="BI9" i="1" s="1"/>
  <c r="AA19" i="1"/>
  <c r="AB19" i="1"/>
  <c r="I8" i="1"/>
  <c r="M8" i="1"/>
  <c r="N8" i="1" s="1"/>
  <c r="S8" i="1"/>
  <c r="AG8" i="1"/>
  <c r="S9" i="1"/>
  <c r="AG9" i="1"/>
  <c r="I10" i="1"/>
  <c r="K10" i="1" s="1"/>
  <c r="J10" i="1"/>
  <c r="M10" i="1"/>
  <c r="N10" i="1" s="1"/>
  <c r="S10" i="1"/>
  <c r="AG10" i="1"/>
  <c r="I11" i="1"/>
  <c r="K11" i="1" s="1"/>
  <c r="J11" i="1"/>
  <c r="M11" i="1"/>
  <c r="N11" i="1" s="1"/>
  <c r="S11" i="1"/>
  <c r="V11" i="1"/>
  <c r="AG11" i="1"/>
  <c r="I12" i="1"/>
  <c r="K12" i="1" s="1"/>
  <c r="J12" i="1"/>
  <c r="M12" i="1"/>
  <c r="N12" i="1" s="1"/>
  <c r="R12" i="1"/>
  <c r="S12" i="1"/>
  <c r="V12" i="1"/>
  <c r="AG12" i="1"/>
  <c r="I13" i="1"/>
  <c r="K13" i="1" s="1"/>
  <c r="J13" i="1"/>
  <c r="M13" i="1"/>
  <c r="N13" i="1" s="1"/>
  <c r="S13" i="1"/>
  <c r="AG13" i="1"/>
  <c r="I14" i="1"/>
  <c r="J14" i="1"/>
  <c r="M14" i="1"/>
  <c r="N14" i="1" s="1"/>
  <c r="S14" i="1"/>
  <c r="AG14" i="1"/>
  <c r="I15" i="1"/>
  <c r="K15" i="1" s="1"/>
  <c r="J15" i="1"/>
  <c r="M15" i="1"/>
  <c r="N15" i="1" s="1"/>
  <c r="R15" i="1"/>
  <c r="S15" i="1"/>
  <c r="V15" i="1"/>
  <c r="AG15" i="1"/>
  <c r="I16" i="1"/>
  <c r="K16" i="1" s="1"/>
  <c r="J16" i="1"/>
  <c r="M16" i="1"/>
  <c r="N16" i="1" s="1"/>
  <c r="S16" i="1"/>
  <c r="AG16" i="1"/>
  <c r="I17" i="1"/>
  <c r="K17" i="1" s="1"/>
  <c r="J17" i="1"/>
  <c r="M17" i="1"/>
  <c r="N17" i="1" s="1"/>
  <c r="T17" i="1"/>
  <c r="S17" i="1"/>
  <c r="AG17" i="1"/>
  <c r="D19" i="1"/>
  <c r="F19" i="1"/>
  <c r="G19" i="1"/>
  <c r="O19" i="1"/>
  <c r="P19" i="1"/>
  <c r="Q19" i="1"/>
  <c r="X19" i="1"/>
  <c r="Y19" i="1"/>
  <c r="Z19" i="1"/>
  <c r="AC19" i="1"/>
  <c r="AD19" i="1"/>
  <c r="S20" i="1"/>
  <c r="BC9" i="1"/>
  <c r="AW9" i="1"/>
  <c r="AU9" i="1"/>
  <c r="AY9" i="1" s="1"/>
  <c r="AF16" i="1" l="1"/>
  <c r="AH16" i="1" s="1"/>
  <c r="AI16" i="1" s="1"/>
  <c r="AJ16" i="1" s="1"/>
  <c r="AF14" i="1"/>
  <c r="AH14" i="1" s="1"/>
  <c r="AI14" i="1" s="1"/>
  <c r="AJ14" i="1" s="1"/>
  <c r="AF12" i="1"/>
  <c r="AH12" i="1" s="1"/>
  <c r="AI12" i="1" s="1"/>
  <c r="AJ12" i="1" s="1"/>
  <c r="J19" i="1"/>
  <c r="V19" i="1"/>
  <c r="AF11" i="1"/>
  <c r="AH11" i="1" s="1"/>
  <c r="AI11" i="1" s="1"/>
  <c r="AJ11" i="1" s="1"/>
  <c r="S19" i="1"/>
  <c r="AF17" i="1"/>
  <c r="AH17" i="1" s="1"/>
  <c r="AI17" i="1" s="1"/>
  <c r="AJ17" i="1" s="1"/>
  <c r="AF15" i="1"/>
  <c r="AH15" i="1" s="1"/>
  <c r="AI15" i="1" s="1"/>
  <c r="AJ15" i="1" s="1"/>
  <c r="E19" i="1"/>
  <c r="AF9" i="1"/>
  <c r="AH9" i="1" s="1"/>
  <c r="AI9" i="1" s="1"/>
  <c r="AJ9" i="1" s="1"/>
  <c r="W19" i="1"/>
  <c r="M19" i="1"/>
  <c r="R19" i="1"/>
  <c r="AF13" i="1"/>
  <c r="AH13" i="1" s="1"/>
  <c r="AI13" i="1" s="1"/>
  <c r="AJ13" i="1" s="1"/>
  <c r="T12" i="1"/>
  <c r="AF10" i="1"/>
  <c r="AH10" i="1" s="1"/>
  <c r="AI10" i="1" s="1"/>
  <c r="AJ10" i="1" s="1"/>
  <c r="I19" i="1"/>
  <c r="N19" i="1"/>
  <c r="K8" i="1"/>
  <c r="K19" i="1" s="1"/>
  <c r="AF8" i="1"/>
  <c r="BC10" i="1"/>
  <c r="BG12" i="1"/>
  <c r="BE14" i="1"/>
  <c r="BE12" i="1"/>
  <c r="AW15" i="1"/>
  <c r="CG19" i="1"/>
  <c r="CH19" i="1"/>
  <c r="AU19" i="1"/>
  <c r="BX19" i="1"/>
  <c r="BW19" i="1"/>
  <c r="BY17" i="1"/>
  <c r="BY16" i="1"/>
  <c r="BY15" i="1"/>
  <c r="BY14" i="1"/>
  <c r="BY13" i="1"/>
  <c r="BY12" i="1"/>
  <c r="BY11" i="1"/>
  <c r="BY10" i="1"/>
  <c r="BY9" i="1"/>
  <c r="BY8" i="1"/>
  <c r="AW16" i="1"/>
  <c r="AV15" i="1"/>
  <c r="CA17" i="1"/>
  <c r="BE16" i="1"/>
  <c r="CA16" i="1"/>
  <c r="AV14" i="1"/>
  <c r="BE15" i="1"/>
  <c r="CA15" i="1"/>
  <c r="AV13" i="1"/>
  <c r="AV12" i="1"/>
  <c r="AW14" i="1" s="1"/>
  <c r="CA14" i="1"/>
  <c r="AV11" i="1"/>
  <c r="AW13" i="1" s="1"/>
  <c r="BE13" i="1"/>
  <c r="BI13" i="1" s="1"/>
  <c r="CA13" i="1"/>
  <c r="AV10" i="1"/>
  <c r="AW12" i="1" s="1"/>
  <c r="CA12" i="1"/>
  <c r="AV9" i="1"/>
  <c r="AW11" i="1" s="1"/>
  <c r="BE11" i="1"/>
  <c r="CA11" i="1"/>
  <c r="AV8" i="1"/>
  <c r="AW10" i="1" s="1"/>
  <c r="CA10" i="1"/>
  <c r="AN8" i="1"/>
  <c r="AQ8" i="1" s="1"/>
  <c r="AQ19" i="1" s="1"/>
  <c r="AX8" i="1"/>
  <c r="AX9" i="1"/>
  <c r="AX10" i="1"/>
  <c r="AX11" i="1"/>
  <c r="AX12" i="1"/>
  <c r="AX13" i="1"/>
  <c r="AX14" i="1"/>
  <c r="AX15" i="1"/>
  <c r="AX16" i="1"/>
  <c r="AX17" i="1"/>
  <c r="BF8" i="1"/>
  <c r="BF11" i="1"/>
  <c r="BF12" i="1"/>
  <c r="BF13" i="1"/>
  <c r="BF14" i="1"/>
  <c r="BF15" i="1"/>
  <c r="BF16" i="1"/>
  <c r="BF17" i="1"/>
  <c r="BJ8" i="1"/>
  <c r="BJ9" i="1"/>
  <c r="BJ10" i="1"/>
  <c r="BJ11" i="1"/>
  <c r="BJ12" i="1"/>
  <c r="BJ13" i="1"/>
  <c r="BJ14" i="1"/>
  <c r="BJ15" i="1"/>
  <c r="BJ16" i="1"/>
  <c r="BJ17" i="1"/>
  <c r="BV10" i="1"/>
  <c r="CB10" i="1" s="1"/>
  <c r="BV11" i="1"/>
  <c r="CB11" i="1" s="1"/>
  <c r="BV12" i="1"/>
  <c r="CB12" i="1" s="1"/>
  <c r="BV13" i="1"/>
  <c r="CB13" i="1" s="1"/>
  <c r="BV14" i="1"/>
  <c r="CB14" i="1" s="1"/>
  <c r="BV15" i="1"/>
  <c r="CB15" i="1" s="1"/>
  <c r="BV16" i="1"/>
  <c r="CB16" i="1" s="1"/>
  <c r="BV17" i="1"/>
  <c r="CB17" i="1" s="1"/>
  <c r="AP8" i="1"/>
  <c r="AP19" i="1" s="1"/>
  <c r="AW8" i="1"/>
  <c r="BE8" i="1"/>
  <c r="BI8" i="1" s="1"/>
  <c r="CD19" i="1"/>
  <c r="AV17" i="1"/>
  <c r="BD17" i="1"/>
  <c r="BE17" i="1" s="1"/>
  <c r="BZ17" i="1"/>
  <c r="AV16" i="1"/>
  <c r="BD16" i="1"/>
  <c r="BZ16" i="1"/>
  <c r="BD15" i="1"/>
  <c r="BI15" i="1" s="1"/>
  <c r="BZ15" i="1"/>
  <c r="BD14" i="1"/>
  <c r="BZ14" i="1"/>
  <c r="BD13" i="1"/>
  <c r="BZ13" i="1"/>
  <c r="BD12" i="1"/>
  <c r="BZ12" i="1"/>
  <c r="BD11" i="1"/>
  <c r="BZ11" i="1"/>
  <c r="BD10" i="1"/>
  <c r="BI10" i="1" s="1"/>
  <c r="BZ10" i="1"/>
  <c r="AO8" i="1"/>
  <c r="AO19" i="1" s="1"/>
  <c r="BD8" i="1"/>
  <c r="AM19" i="1"/>
  <c r="BK19" i="1"/>
  <c r="BT19" i="1"/>
  <c r="BS19" i="1"/>
  <c r="BA19" i="1"/>
  <c r="AR8" i="1"/>
  <c r="AR19" i="1" s="1"/>
  <c r="BC8" i="1"/>
  <c r="BG8" i="1"/>
  <c r="BG10" i="1"/>
  <c r="BC11" i="1"/>
  <c r="BG11" i="1"/>
  <c r="BC13" i="1"/>
  <c r="BG13" i="1"/>
  <c r="BC14" i="1"/>
  <c r="BG14" i="1" s="1"/>
  <c r="BC15" i="1"/>
  <c r="BG15" i="1"/>
  <c r="BC16" i="1"/>
  <c r="BG16" i="1"/>
  <c r="BG17" i="1"/>
  <c r="AK19" i="1"/>
  <c r="AS19" i="1"/>
  <c r="AT19" i="1"/>
  <c r="AZ19" i="1"/>
  <c r="BB19" i="1"/>
  <c r="BL19" i="1"/>
  <c r="CE19" i="1"/>
  <c r="AV19" i="1" l="1"/>
  <c r="AW17" i="1"/>
  <c r="BO14" i="1"/>
  <c r="BP14" i="1"/>
  <c r="BO10" i="1"/>
  <c r="BP10" i="1"/>
  <c r="BO17" i="1"/>
  <c r="BP17" i="1"/>
  <c r="BO13" i="1"/>
  <c r="BN13" i="1"/>
  <c r="BR13" i="1" s="1"/>
  <c r="BP13" i="1"/>
  <c r="CI13" i="1" s="1"/>
  <c r="BO9" i="1"/>
  <c r="BP9" i="1"/>
  <c r="BI19" i="1"/>
  <c r="BP16" i="1"/>
  <c r="CI16" i="1" s="1"/>
  <c r="BN16" i="1"/>
  <c r="BR16" i="1" s="1"/>
  <c r="BO12" i="1"/>
  <c r="BP12" i="1"/>
  <c r="BP8" i="1"/>
  <c r="BM20" i="1"/>
  <c r="BO15" i="1"/>
  <c r="BP15" i="1"/>
  <c r="BO11" i="1"/>
  <c r="BN11" i="1"/>
  <c r="BR11" i="1" s="1"/>
  <c r="BP11" i="1"/>
  <c r="CI11" i="1" s="1"/>
  <c r="S22" i="1"/>
  <c r="S23" i="1" s="1"/>
  <c r="CI17" i="1"/>
  <c r="CI12" i="1"/>
  <c r="CI10" i="1"/>
  <c r="CI15" i="1"/>
  <c r="CI14" i="1"/>
  <c r="CI9" i="1"/>
  <c r="T19" i="1"/>
  <c r="AH8" i="1"/>
  <c r="AF19" i="1"/>
  <c r="BO16" i="1"/>
  <c r="BO8" i="1"/>
  <c r="BG9" i="1"/>
  <c r="BG19" i="1" s="1"/>
  <c r="BF9" i="1"/>
  <c r="BF19" i="1" s="1"/>
  <c r="BY19" i="1"/>
  <c r="CC10" i="1"/>
  <c r="CC11" i="1"/>
  <c r="CC15" i="1"/>
  <c r="AN19" i="1"/>
  <c r="CC17" i="1"/>
  <c r="AY19" i="1"/>
  <c r="BV19" i="1"/>
  <c r="BP19" i="1"/>
  <c r="BR9" i="1"/>
  <c r="BN12" i="1"/>
  <c r="BR12" i="1" s="1"/>
  <c r="BZ19" i="1"/>
  <c r="BN15" i="1"/>
  <c r="BQ15" i="1" s="1"/>
  <c r="BD19" i="1"/>
  <c r="CA19" i="1"/>
  <c r="BE19" i="1"/>
  <c r="BC19" i="1"/>
  <c r="AX19" i="1"/>
  <c r="AW19" i="1"/>
  <c r="BR10" i="1"/>
  <c r="BJ19" i="1"/>
  <c r="CB19" i="1"/>
  <c r="CC13" i="1"/>
  <c r="CC12" i="1"/>
  <c r="CC16" i="1"/>
  <c r="BR17" i="1"/>
  <c r="BR15" i="1"/>
  <c r="CC14" i="1"/>
  <c r="AE16" i="1" l="1"/>
  <c r="AE12" i="1"/>
  <c r="AE8" i="1"/>
  <c r="AE15" i="1"/>
  <c r="AE11" i="1"/>
  <c r="AE14" i="1"/>
  <c r="AE10" i="1"/>
  <c r="AE17" i="1"/>
  <c r="AE13" i="1"/>
  <c r="AE9" i="1"/>
  <c r="AE20" i="1"/>
  <c r="Y20" i="1"/>
  <c r="AD20" i="1"/>
  <c r="X20" i="1"/>
  <c r="AC20" i="1"/>
  <c r="Z20" i="1"/>
  <c r="BO19" i="1"/>
  <c r="AI8" i="1"/>
  <c r="AJ8" i="1" s="1"/>
  <c r="CI8" i="1" s="1"/>
  <c r="CC19" i="1"/>
  <c r="BQ19" i="1"/>
  <c r="BR19" i="1"/>
  <c r="BN19" i="1"/>
  <c r="AE19" i="1" l="1"/>
  <c r="AG18" i="1" s="1"/>
  <c r="AG19" i="1" s="1"/>
  <c r="CF12" i="1"/>
  <c r="CF10" i="1"/>
  <c r="CF9" i="1"/>
  <c r="CF13" i="1"/>
  <c r="CF17" i="1"/>
  <c r="CF11" i="1"/>
  <c r="CF15" i="1"/>
  <c r="CF14" i="1"/>
  <c r="AH18" i="1" l="1"/>
  <c r="AI18" i="1" s="1"/>
  <c r="CF16" i="1"/>
  <c r="CF8" i="1"/>
  <c r="AI19" i="1" l="1"/>
  <c r="AH19" i="1"/>
  <c r="CF19" i="1"/>
  <c r="AJ18" i="1" l="1"/>
  <c r="CI19" i="1"/>
  <c r="AJ19" i="1" l="1"/>
</calcChain>
</file>

<file path=xl/sharedStrings.xml><?xml version="1.0" encoding="utf-8"?>
<sst xmlns="http://schemas.openxmlformats.org/spreadsheetml/2006/main" count="123" uniqueCount="74">
  <si>
    <t>бр ученици</t>
  </si>
  <si>
    <t>Самоков</t>
  </si>
  <si>
    <t>Радуил</t>
  </si>
  <si>
    <t>Ярлово</t>
  </si>
  <si>
    <t>населено място</t>
  </si>
  <si>
    <t>брой ученици</t>
  </si>
  <si>
    <t>сума за получаване от МФ</t>
  </si>
  <si>
    <t>ОУ "Васил Левски"</t>
  </si>
  <si>
    <t xml:space="preserve">    вечерна форма на обучение</t>
  </si>
  <si>
    <t>Общо бюджет на училището ЕРС+ПО</t>
  </si>
  <si>
    <t>Средства за защитени училища</t>
  </si>
  <si>
    <t>Говедарци</t>
  </si>
  <si>
    <t>по справки</t>
  </si>
  <si>
    <t xml:space="preserve">по справки </t>
  </si>
  <si>
    <t>Стипендии</t>
  </si>
  <si>
    <t>разлика</t>
  </si>
  <si>
    <t>СУ “Отец Паисий”</t>
  </si>
  <si>
    <t>Преходен остатък от 2016г.</t>
  </si>
  <si>
    <t xml:space="preserve">за разпределяне </t>
  </si>
  <si>
    <t>за разпределяне</t>
  </si>
  <si>
    <t>по  стандарти</t>
  </si>
  <si>
    <t>Бюджет за разпределение по разходни стандарти</t>
  </si>
  <si>
    <t>по РС</t>
  </si>
  <si>
    <t xml:space="preserve">100% получени по РС </t>
  </si>
  <si>
    <t>100% пучени по РС</t>
  </si>
  <si>
    <t>100% получени по РС</t>
  </si>
  <si>
    <t xml:space="preserve"> по ИС на МОН  </t>
  </si>
  <si>
    <t>Стандарт за паралелка</t>
  </si>
  <si>
    <t>бр. паралелки по НЕИСПУО</t>
  </si>
  <si>
    <t xml:space="preserve">резерв за възстановяване по чл.282,ал.19 от ЗПУО  </t>
  </si>
  <si>
    <t>по НЕИСПУО</t>
  </si>
  <si>
    <r>
      <t>НЕСПЕЦИАЛИЗИРАНИ У Ч И Л И Щ А, БЕЗ ПРОФЕСИОНАЛНИ ГИМНАЗИИ</t>
    </r>
    <r>
      <rPr>
        <sz val="10"/>
        <rFont val="Arial"/>
        <charset val="204"/>
      </rPr>
      <t xml:space="preserve"> </t>
    </r>
  </si>
  <si>
    <t>ОБЩО:</t>
  </si>
  <si>
    <t>брой паралелки</t>
  </si>
  <si>
    <t xml:space="preserve">Стандарт за институция </t>
  </si>
  <si>
    <t xml:space="preserve">Основни компоненти </t>
  </si>
  <si>
    <t>100 % получени по стандарт за институция</t>
  </si>
  <si>
    <t>100% получени по стандарт за ученик</t>
  </si>
  <si>
    <t>100 % получени по  стандарт за паралелка</t>
  </si>
  <si>
    <t>Стандарт за ученик</t>
  </si>
  <si>
    <t>Допълнителни компоненти</t>
  </si>
  <si>
    <t>ОК</t>
  </si>
  <si>
    <t>ДК</t>
  </si>
  <si>
    <t>Всичко средства по основни компоненти</t>
  </si>
  <si>
    <t>Всичко средства по допълнителни компоненти</t>
  </si>
  <si>
    <t>Средства по формулата основни + допълнителни компоненти</t>
  </si>
  <si>
    <t>Средства по регионален коефициент 0.034</t>
  </si>
  <si>
    <t>Всичко средства по формулата</t>
  </si>
  <si>
    <t>резерв</t>
  </si>
  <si>
    <t>0,7% на ученик ДЕСО - за ученици в ГЕ             VIII-XII кл. Х120.65</t>
  </si>
  <si>
    <t>по справки от директори</t>
  </si>
  <si>
    <t>бр. паралелки по стандарти</t>
  </si>
  <si>
    <t>разлика           /ерс-неиспуо/</t>
  </si>
  <si>
    <t xml:space="preserve">Средства за разпределяне по училища </t>
  </si>
  <si>
    <t>ОУ "Св.Св.Кирил и Методий"</t>
  </si>
  <si>
    <t>ПГ “Константин Фотинов”</t>
  </si>
  <si>
    <t>ОУ "Христо Максимов"</t>
  </si>
  <si>
    <t>ОУ "Митр.Авксентий Велешки"</t>
  </si>
  <si>
    <t>ОбУ "Неофит Рилски"</t>
  </si>
  <si>
    <t>НУ "Станислав Доспевски"</t>
  </si>
  <si>
    <t>ОУ "Димчо Дебелянов"</t>
  </si>
  <si>
    <t>ОУ "Христо Смирненски"</t>
  </si>
  <si>
    <t>разлика /ерс-спр.директори/</t>
  </si>
  <si>
    <t>Средства за финансиране на делегираните дейности по образование, определени по разходни стандарти за 2024г.</t>
  </si>
  <si>
    <t>разлика /неиспуо-спр.директори/</t>
  </si>
  <si>
    <t>Допълващ стандарт за материална база</t>
  </si>
  <si>
    <t>0,73% на училище без енергийна ефективност</t>
  </si>
  <si>
    <t xml:space="preserve">резерв 1.3%   </t>
  </si>
  <si>
    <t>0,3% на паралелка ДМБУ - за уилища под 200 ученика</t>
  </si>
  <si>
    <t>0.32% на паралелка ДМБУ - за уилища под 100 ученика</t>
  </si>
  <si>
    <t>97.35 %</t>
  </si>
  <si>
    <t>Училище</t>
  </si>
  <si>
    <t>Комбинирана форма на обучение</t>
  </si>
  <si>
    <t>Индивидуална форма на обучение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</si>
</sst>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204"/>
    </font>
    <font>
      <sz val="8"/>
      <name val="Arial"/>
      <charset val="204"/>
    </font>
    <font>
      <sz val="8"/>
      <color indexed="8"/>
      <name val="Arial"/>
      <family val="2"/>
      <charset val="204"/>
    </font>
    <font>
      <sz val="12"/>
      <name val="Arial"/>
      <charset val="204"/>
    </font>
    <font>
      <sz val="8"/>
      <color indexed="8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name val="Arial"/>
      <charset val="204"/>
    </font>
    <font>
      <b/>
      <sz val="9"/>
      <name val="Arial"/>
      <charset val="204"/>
    </font>
    <font>
      <sz val="10"/>
      <color indexed="40"/>
      <name val="Arial"/>
      <charset val="204"/>
    </font>
    <font>
      <b/>
      <sz val="9"/>
      <color indexed="10"/>
      <name val="Arial"/>
      <family val="2"/>
      <charset val="204"/>
    </font>
    <font>
      <sz val="8"/>
      <color indexed="10"/>
      <name val="Arial"/>
      <charset val="204"/>
    </font>
    <font>
      <b/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sz val="6"/>
      <color indexed="8"/>
      <name val="Arial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9"/>
      <color theme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wrapText="1"/>
    </xf>
    <xf numFmtId="0" fontId="1" fillId="0" borderId="1" xfId="0" applyFont="1" applyFill="1" applyBorder="1"/>
    <xf numFmtId="0" fontId="8" fillId="0" borderId="0" xfId="0" applyFont="1" applyFill="1"/>
    <xf numFmtId="2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8" fillId="0" borderId="5" xfId="0" applyFont="1" applyFill="1" applyBorder="1"/>
    <xf numFmtId="2" fontId="8" fillId="0" borderId="5" xfId="0" applyNumberFormat="1" applyFont="1" applyFill="1" applyBorder="1"/>
    <xf numFmtId="1" fontId="8" fillId="0" borderId="5" xfId="0" applyNumberFormat="1" applyFont="1" applyFill="1" applyBorder="1"/>
    <xf numFmtId="0" fontId="10" fillId="0" borderId="0" xfId="0" applyFont="1" applyAlignment="1">
      <alignment vertical="center" wrapText="1"/>
    </xf>
    <xf numFmtId="2" fontId="0" fillId="0" borderId="0" xfId="0" applyNumberFormat="1"/>
    <xf numFmtId="2" fontId="1" fillId="0" borderId="6" xfId="0" applyNumberFormat="1" applyFont="1" applyFill="1" applyBorder="1"/>
    <xf numFmtId="2" fontId="8" fillId="0" borderId="1" xfId="0" applyNumberFormat="1" applyFont="1" applyFill="1" applyBorder="1"/>
    <xf numFmtId="0" fontId="4" fillId="0" borderId="0" xfId="0" applyFont="1" applyFill="1" applyBorder="1" applyAlignment="1">
      <alignment wrapText="1"/>
    </xf>
    <xf numFmtId="1" fontId="13" fillId="0" borderId="5" xfId="0" applyNumberFormat="1" applyFont="1" applyFill="1" applyBorder="1"/>
    <xf numFmtId="2" fontId="8" fillId="0" borderId="8" xfId="0" applyNumberFormat="1" applyFont="1" applyFill="1" applyBorder="1"/>
    <xf numFmtId="1" fontId="12" fillId="0" borderId="0" xfId="0" applyNumberFormat="1" applyFont="1" applyBorder="1" applyAlignment="1">
      <alignment horizontal="left"/>
    </xf>
    <xf numFmtId="0" fontId="2" fillId="0" borderId="9" xfId="0" applyFont="1" applyFill="1" applyBorder="1"/>
    <xf numFmtId="0" fontId="13" fillId="0" borderId="5" xfId="0" applyFont="1" applyFill="1" applyBorder="1"/>
    <xf numFmtId="1" fontId="15" fillId="0" borderId="5" xfId="0" applyNumberFormat="1" applyFont="1" applyFill="1" applyBorder="1"/>
    <xf numFmtId="0" fontId="1" fillId="0" borderId="0" xfId="0" applyFont="1" applyFill="1" applyBorder="1"/>
    <xf numFmtId="0" fontId="0" fillId="0" borderId="0" xfId="0" applyFill="1" applyBorder="1"/>
    <xf numFmtId="2" fontId="9" fillId="0" borderId="0" xfId="0" applyNumberFormat="1" applyFont="1" applyFill="1" applyBorder="1" applyAlignment="1">
      <alignment horizontal="right" wrapText="1"/>
    </xf>
    <xf numFmtId="2" fontId="8" fillId="0" borderId="0" xfId="0" applyNumberFormat="1" applyFont="1" applyFill="1" applyBorder="1"/>
    <xf numFmtId="0" fontId="2" fillId="0" borderId="6" xfId="0" applyFont="1" applyFill="1" applyBorder="1"/>
    <xf numFmtId="0" fontId="8" fillId="0" borderId="8" xfId="0" applyFont="1" applyFill="1" applyBorder="1"/>
    <xf numFmtId="0" fontId="17" fillId="0" borderId="0" xfId="0" applyFont="1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2" fontId="14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1" fontId="14" fillId="0" borderId="4" xfId="0" applyNumberFormat="1" applyFont="1" applyFill="1" applyBorder="1" applyAlignment="1">
      <alignment vertical="center" wrapText="1"/>
    </xf>
    <xf numFmtId="2" fontId="14" fillId="0" borderId="4" xfId="0" applyNumberFormat="1" applyFont="1" applyFill="1" applyBorder="1" applyAlignment="1">
      <alignment vertical="center" wrapText="1"/>
    </xf>
    <xf numFmtId="2" fontId="14" fillId="0" borderId="4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/>
    <xf numFmtId="0" fontId="18" fillId="0" borderId="6" xfId="0" applyFont="1" applyFill="1" applyBorder="1" applyAlignment="1">
      <alignment horizontal="right" wrapText="1"/>
    </xf>
    <xf numFmtId="0" fontId="20" fillId="0" borderId="1" xfId="0" applyFont="1" applyBorder="1" applyAlignment="1">
      <alignment wrapText="1"/>
    </xf>
    <xf numFmtId="0" fontId="20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right" wrapText="1"/>
    </xf>
    <xf numFmtId="2" fontId="9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/>
    <xf numFmtId="2" fontId="6" fillId="0" borderId="1" xfId="0" applyNumberFormat="1" applyFont="1" applyFill="1" applyBorder="1"/>
    <xf numFmtId="2" fontId="4" fillId="0" borderId="1" xfId="0" applyNumberFormat="1" applyFont="1" applyFill="1" applyBorder="1" applyAlignment="1">
      <alignment wrapText="1"/>
    </xf>
    <xf numFmtId="2" fontId="21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textRotation="90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13" fillId="0" borderId="0" xfId="0" applyFont="1" applyFill="1" applyBorder="1"/>
    <xf numFmtId="2" fontId="8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/>
    <xf numFmtId="2" fontId="8" fillId="2" borderId="0" xfId="0" applyNumberFormat="1" applyFont="1" applyFill="1" applyBorder="1"/>
    <xf numFmtId="1" fontId="15" fillId="0" borderId="0" xfId="0" applyNumberFormat="1" applyFont="1" applyFill="1" applyBorder="1"/>
    <xf numFmtId="1" fontId="13" fillId="0" borderId="0" xfId="0" applyNumberFormat="1" applyFont="1" applyFill="1" applyBorder="1"/>
    <xf numFmtId="1" fontId="8" fillId="2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right" wrapText="1"/>
    </xf>
    <xf numFmtId="2" fontId="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2" fontId="4" fillId="0" borderId="0" xfId="0" applyNumberFormat="1" applyFont="1" applyFill="1" applyBorder="1" applyAlignment="1">
      <alignment horizontal="right" wrapText="1"/>
    </xf>
    <xf numFmtId="2" fontId="8" fillId="0" borderId="0" xfId="0" applyNumberFormat="1" applyFont="1" applyFill="1" applyBorder="1" applyAlignment="1">
      <alignment horizontal="center" wrapText="1"/>
    </xf>
    <xf numFmtId="0" fontId="20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14" fillId="0" borderId="0" xfId="0" applyFont="1" applyFill="1" applyBorder="1"/>
    <xf numFmtId="2" fontId="10" fillId="0" borderId="0" xfId="0" applyNumberFormat="1" applyFont="1" applyFill="1" applyBorder="1"/>
    <xf numFmtId="0" fontId="16" fillId="0" borderId="0" xfId="0" applyFont="1" applyFill="1" applyBorder="1"/>
    <xf numFmtId="1" fontId="2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horizontal="right"/>
    </xf>
    <xf numFmtId="2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right" wrapText="1"/>
    </xf>
    <xf numFmtId="0" fontId="21" fillId="0" borderId="0" xfId="0" applyFont="1"/>
    <xf numFmtId="0" fontId="22" fillId="0" borderId="1" xfId="0" applyFont="1" applyFill="1" applyBorder="1"/>
    <xf numFmtId="2" fontId="17" fillId="0" borderId="0" xfId="0" applyNumberFormat="1" applyFont="1"/>
    <xf numFmtId="0" fontId="18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2" fontId="9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wrapText="1"/>
    </xf>
    <xf numFmtId="1" fontId="10" fillId="0" borderId="0" xfId="0" applyNumberFormat="1" applyFont="1" applyFill="1" applyBorder="1"/>
    <xf numFmtId="2" fontId="1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2" fontId="6" fillId="0" borderId="0" xfId="0" applyNumberFormat="1" applyFont="1" applyFill="1" applyBorder="1"/>
    <xf numFmtId="0" fontId="9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2" fontId="9" fillId="0" borderId="0" xfId="0" applyNumberFormat="1" applyFont="1" applyAlignment="1">
      <alignment vertical="center" wrapText="1"/>
    </xf>
    <xf numFmtId="2" fontId="0" fillId="0" borderId="20" xfId="0" applyNumberForma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2" fontId="9" fillId="0" borderId="13" xfId="0" applyNumberFormat="1" applyFont="1" applyFill="1" applyBorder="1" applyAlignment="1">
      <alignment horizontal="right" wrapText="1"/>
    </xf>
    <xf numFmtId="2" fontId="6" fillId="0" borderId="13" xfId="0" applyNumberFormat="1" applyFont="1" applyFill="1" applyBorder="1" applyAlignment="1">
      <alignment horizontal="right" wrapText="1"/>
    </xf>
    <xf numFmtId="2" fontId="1" fillId="0" borderId="13" xfId="0" applyNumberFormat="1" applyFont="1" applyFill="1" applyBorder="1" applyAlignment="1">
      <alignment horizontal="right" wrapText="1"/>
    </xf>
    <xf numFmtId="2" fontId="6" fillId="0" borderId="13" xfId="0" applyNumberFormat="1" applyFont="1" applyFill="1" applyBorder="1"/>
    <xf numFmtId="2" fontId="4" fillId="0" borderId="13" xfId="0" applyNumberFormat="1" applyFont="1" applyFill="1" applyBorder="1" applyAlignment="1">
      <alignment wrapText="1"/>
    </xf>
    <xf numFmtId="2" fontId="1" fillId="0" borderId="15" xfId="0" applyNumberFormat="1" applyFont="1" applyFill="1" applyBorder="1"/>
    <xf numFmtId="0" fontId="2" fillId="0" borderId="1" xfId="0" applyFont="1" applyBorder="1" applyAlignment="1">
      <alignment wrapText="1"/>
    </xf>
    <xf numFmtId="2" fontId="21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2" fontId="10" fillId="0" borderId="1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textRotation="90" wrapText="1"/>
    </xf>
    <xf numFmtId="1" fontId="22" fillId="0" borderId="1" xfId="0" applyNumberFormat="1" applyFont="1" applyFill="1" applyBorder="1" applyAlignment="1">
      <alignment horizontal="right" wrapText="1"/>
    </xf>
    <xf numFmtId="1" fontId="0" fillId="0" borderId="0" xfId="0" applyNumberFormat="1"/>
    <xf numFmtId="0" fontId="1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2" fontId="24" fillId="0" borderId="0" xfId="0" applyNumberFormat="1" applyFont="1" applyFill="1" applyBorder="1" applyAlignment="1">
      <alignment horizontal="center" vertical="center" wrapText="1"/>
    </xf>
    <xf numFmtId="2" fontId="24" fillId="0" borderId="0" xfId="0" applyNumberFormat="1" applyFont="1" applyFill="1" applyBorder="1"/>
    <xf numFmtId="2" fontId="6" fillId="0" borderId="6" xfId="0" applyNumberFormat="1" applyFont="1" applyFill="1" applyBorder="1"/>
    <xf numFmtId="10" fontId="17" fillId="0" borderId="1" xfId="0" applyNumberFormat="1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10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right"/>
    </xf>
    <xf numFmtId="2" fontId="1" fillId="0" borderId="6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/>
    </xf>
    <xf numFmtId="0" fontId="18" fillId="0" borderId="7" xfId="0" applyFont="1" applyFill="1" applyBorder="1" applyAlignment="1">
      <alignment horizontal="right" wrapText="1"/>
    </xf>
    <xf numFmtId="0" fontId="5" fillId="0" borderId="6" xfId="0" applyFont="1" applyFill="1" applyBorder="1" applyAlignment="1">
      <alignment horizontal="right" wrapText="1"/>
    </xf>
    <xf numFmtId="0" fontId="18" fillId="0" borderId="15" xfId="0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right" wrapText="1"/>
    </xf>
    <xf numFmtId="0" fontId="7" fillId="0" borderId="13" xfId="0" applyFont="1" applyFill="1" applyBorder="1" applyAlignment="1">
      <alignment horizontal="right"/>
    </xf>
    <xf numFmtId="0" fontId="24" fillId="0" borderId="0" xfId="0" applyFont="1" applyFill="1" applyBorder="1"/>
    <xf numFmtId="2" fontId="9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right" wrapText="1"/>
    </xf>
    <xf numFmtId="0" fontId="25" fillId="0" borderId="0" xfId="0" applyFont="1"/>
    <xf numFmtId="2" fontId="25" fillId="0" borderId="0" xfId="0" applyNumberFormat="1" applyFont="1"/>
    <xf numFmtId="0" fontId="26" fillId="0" borderId="0" xfId="0" applyFont="1" applyAlignment="1">
      <alignment vertical="center" wrapText="1"/>
    </xf>
    <xf numFmtId="2" fontId="26" fillId="0" borderId="0" xfId="0" applyNumberFormat="1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22" fillId="0" borderId="4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/>
    <xf numFmtId="0" fontId="7" fillId="0" borderId="1" xfId="0" applyFont="1" applyFill="1" applyBorder="1"/>
    <xf numFmtId="1" fontId="2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vertical="center" wrapText="1"/>
    </xf>
    <xf numFmtId="2" fontId="6" fillId="0" borderId="3" xfId="0" applyNumberFormat="1" applyFont="1" applyFill="1" applyBorder="1" applyAlignment="1">
      <alignment horizontal="right" vertical="center"/>
    </xf>
    <xf numFmtId="2" fontId="6" fillId="0" borderId="3" xfId="0" applyNumberFormat="1" applyFont="1" applyFill="1" applyBorder="1" applyAlignment="1">
      <alignment horizontal="right"/>
    </xf>
    <xf numFmtId="0" fontId="2" fillId="0" borderId="15" xfId="0" applyFont="1" applyFill="1" applyBorder="1"/>
    <xf numFmtId="1" fontId="2" fillId="0" borderId="13" xfId="0" applyNumberFormat="1" applyFont="1" applyFill="1" applyBorder="1"/>
    <xf numFmtId="1" fontId="7" fillId="0" borderId="13" xfId="0" applyNumberFormat="1" applyFont="1" applyFill="1" applyBorder="1" applyAlignment="1">
      <alignment horizontal="right" wrapText="1"/>
    </xf>
    <xf numFmtId="2" fontId="6" fillId="0" borderId="18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1" fontId="24" fillId="0" borderId="0" xfId="0" applyNumberFormat="1" applyFont="1" applyFill="1" applyBorder="1"/>
    <xf numFmtId="2" fontId="21" fillId="0" borderId="0" xfId="0" applyNumberFormat="1" applyFont="1" applyFill="1" applyBorder="1"/>
    <xf numFmtId="2" fontId="0" fillId="0" borderId="0" xfId="0" applyNumberFormat="1" applyFill="1" applyBorder="1"/>
    <xf numFmtId="2" fontId="10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center" vertical="center" textRotation="90" wrapText="1"/>
    </xf>
    <xf numFmtId="1" fontId="1" fillId="0" borderId="1" xfId="0" applyNumberFormat="1" applyFont="1" applyFill="1" applyBorder="1" applyAlignment="1">
      <alignment vertical="center" wrapText="1"/>
    </xf>
    <xf numFmtId="1" fontId="1" fillId="0" borderId="6" xfId="0" applyNumberFormat="1" applyFont="1" applyFill="1" applyBorder="1" applyAlignment="1">
      <alignment vertical="center" wrapText="1"/>
    </xf>
    <xf numFmtId="1" fontId="14" fillId="0" borderId="6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right" wrapText="1"/>
    </xf>
    <xf numFmtId="1" fontId="9" fillId="0" borderId="6" xfId="0" applyNumberFormat="1" applyFont="1" applyFill="1" applyBorder="1" applyAlignment="1">
      <alignment horizontal="right" wrapText="1"/>
    </xf>
    <xf numFmtId="2" fontId="9" fillId="0" borderId="6" xfId="0" applyNumberFormat="1" applyFont="1" applyFill="1" applyBorder="1" applyAlignment="1">
      <alignment horizontal="right" wrapText="1"/>
    </xf>
    <xf numFmtId="2" fontId="9" fillId="0" borderId="15" xfId="0" applyNumberFormat="1" applyFont="1" applyFill="1" applyBorder="1" applyAlignment="1">
      <alignment horizontal="right" wrapText="1"/>
    </xf>
    <xf numFmtId="1" fontId="8" fillId="0" borderId="8" xfId="0" applyNumberFormat="1" applyFont="1" applyFill="1" applyBorder="1"/>
    <xf numFmtId="1" fontId="14" fillId="0" borderId="8" xfId="0" applyNumberFormat="1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/>
    </xf>
    <xf numFmtId="1" fontId="23" fillId="0" borderId="5" xfId="0" applyNumberFormat="1" applyFont="1" applyFill="1" applyBorder="1"/>
    <xf numFmtId="0" fontId="8" fillId="0" borderId="5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1" fillId="0" borderId="0" xfId="0" applyFont="1" applyFill="1" applyBorder="1" applyAlignment="1"/>
    <xf numFmtId="0" fontId="0" fillId="0" borderId="0" xfId="0" applyFill="1" applyBorder="1" applyAlignment="1"/>
    <xf numFmtId="0" fontId="10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" xfId="0" applyFill="1" applyBorder="1" applyAlignment="1"/>
    <xf numFmtId="0" fontId="11" fillId="0" borderId="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21" fillId="0" borderId="13" xfId="0" applyNumberFormat="1" applyFont="1" applyBorder="1" applyAlignment="1">
      <alignment horizontal="center" vertical="center" wrapText="1"/>
    </xf>
    <xf numFmtId="9" fontId="21" fillId="0" borderId="14" xfId="0" applyNumberFormat="1" applyFont="1" applyBorder="1" applyAlignment="1">
      <alignment horizontal="center" vertical="center" wrapText="1"/>
    </xf>
    <xf numFmtId="9" fontId="21" fillId="0" borderId="4" xfId="0" applyNumberFormat="1" applyFont="1" applyBorder="1" applyAlignment="1">
      <alignment horizontal="center" vertical="center" wrapText="1"/>
    </xf>
    <xf numFmtId="9" fontId="21" fillId="0" borderId="13" xfId="0" applyNumberFormat="1" applyFont="1" applyFill="1" applyBorder="1" applyAlignment="1">
      <alignment horizontal="center" vertical="center" wrapText="1"/>
    </xf>
    <xf numFmtId="9" fontId="21" fillId="0" borderId="14" xfId="0" applyNumberFormat="1" applyFont="1" applyFill="1" applyBorder="1" applyAlignment="1">
      <alignment horizontal="center" vertical="center" wrapText="1"/>
    </xf>
    <xf numFmtId="9" fontId="21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9" fontId="17" fillId="0" borderId="13" xfId="0" applyNumberFormat="1" applyFont="1" applyFill="1" applyBorder="1" applyAlignment="1">
      <alignment horizontal="center" vertical="center" wrapText="1"/>
    </xf>
    <xf numFmtId="9" fontId="17" fillId="0" borderId="14" xfId="0" applyNumberFormat="1" applyFont="1" applyFill="1" applyBorder="1" applyAlignment="1">
      <alignment horizontal="center" vertical="center" wrapText="1"/>
    </xf>
    <xf numFmtId="9" fontId="17" fillId="0" borderId="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0" fillId="0" borderId="14" xfId="0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</cellXfs>
  <cellStyles count="1">
    <cellStyle name="Нормален" xfId="0" builtinId="0"/>
  </cellStyles>
  <dxfs count="1">
    <dxf>
      <fill>
        <patternFill patternType="none">
          <fgColor rgb="FF000000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1"/>
  <sheetViews>
    <sheetView tabSelected="1" showWhiteSpace="0" workbookViewId="0">
      <selection activeCell="B20" sqref="B20"/>
    </sheetView>
  </sheetViews>
  <sheetFormatPr defaultRowHeight="12.75" x14ac:dyDescent="0.2"/>
  <cols>
    <col min="1" max="1" width="2.7109375" customWidth="1"/>
    <col min="2" max="2" width="23.42578125" customWidth="1"/>
    <col min="3" max="3" width="6.28515625" customWidth="1"/>
    <col min="4" max="4" width="9.28515625" customWidth="1"/>
    <col min="5" max="5" width="9.5703125" customWidth="1"/>
    <col min="6" max="6" width="5" customWidth="1"/>
    <col min="7" max="7" width="4.28515625" customWidth="1"/>
    <col min="8" max="8" width="4.42578125" customWidth="1"/>
    <col min="9" max="9" width="4" customWidth="1"/>
    <col min="10" max="10" width="10.140625" customWidth="1"/>
    <col min="11" max="11" width="7.5703125" customWidth="1"/>
    <col min="12" max="12" width="8.5703125" customWidth="1"/>
    <col min="13" max="13" width="10.7109375" customWidth="1"/>
    <col min="14" max="14" width="10.28515625" customWidth="1"/>
    <col min="15" max="16" width="5.28515625" customWidth="1"/>
    <col min="17" max="17" width="5" customWidth="1"/>
    <col min="18" max="18" width="4.42578125" customWidth="1"/>
    <col min="19" max="19" width="12.140625" customWidth="1"/>
    <col min="20" max="20" width="9.42578125" customWidth="1"/>
    <col min="21" max="21" width="8.28515625" customWidth="1"/>
    <col min="22" max="23" width="11" customWidth="1"/>
    <col min="24" max="24" width="8.7109375" hidden="1" customWidth="1"/>
    <col min="25" max="25" width="8.7109375" customWidth="1"/>
    <col min="26" max="26" width="8.28515625" customWidth="1"/>
    <col min="27" max="27" width="8.28515625" hidden="1" customWidth="1"/>
    <col min="28" max="28" width="8.140625" hidden="1" customWidth="1"/>
    <col min="29" max="29" width="9.42578125" customWidth="1"/>
    <col min="30" max="30" width="0.140625" customWidth="1"/>
    <col min="31" max="31" width="9.28515625" customWidth="1"/>
    <col min="32" max="32" width="11.5703125" customWidth="1"/>
    <col min="33" max="33" width="9.7109375" customWidth="1"/>
    <col min="34" max="34" width="12" customWidth="1"/>
    <col min="35" max="35" width="10.7109375" customWidth="1"/>
    <col min="36" max="36" width="11.7109375" customWidth="1"/>
    <col min="37" max="37" width="0.140625" customWidth="1"/>
    <col min="38" max="38" width="0.140625" hidden="1" customWidth="1"/>
    <col min="39" max="39" width="3.28515625" hidden="1" customWidth="1"/>
    <col min="40" max="40" width="3.140625" hidden="1" customWidth="1"/>
    <col min="41" max="41" width="6.42578125" hidden="1" customWidth="1"/>
    <col min="42" max="42" width="6.140625" hidden="1" customWidth="1"/>
    <col min="43" max="43" width="7.5703125" hidden="1" customWidth="1"/>
    <col min="44" max="44" width="8.7109375" hidden="1" customWidth="1"/>
    <col min="45" max="45" width="3.5703125" customWidth="1"/>
    <col min="46" max="46" width="4.140625" customWidth="1"/>
    <col min="47" max="47" width="3" customWidth="1"/>
    <col min="48" max="48" width="8.28515625" customWidth="1"/>
    <col min="49" max="49" width="8.85546875" customWidth="1"/>
    <col min="50" max="50" width="6.7109375" customWidth="1"/>
    <col min="51" max="51" width="6.140625" customWidth="1"/>
    <col min="52" max="52" width="3.5703125" customWidth="1"/>
    <col min="53" max="53" width="0.140625" hidden="1" customWidth="1"/>
    <col min="54" max="55" width="3.140625" customWidth="1"/>
    <col min="56" max="56" width="8.7109375" style="1" customWidth="1"/>
    <col min="57" max="57" width="8.42578125" customWidth="1"/>
    <col min="58" max="58" width="6.140625" customWidth="1"/>
    <col min="59" max="59" width="6.28515625" hidden="1" customWidth="1"/>
    <col min="60" max="60" width="8" hidden="1" customWidth="1"/>
    <col min="61" max="61" width="8.7109375" customWidth="1"/>
    <col min="62" max="62" width="4.7109375" customWidth="1"/>
    <col min="63" max="63" width="4.7109375" hidden="1" customWidth="1"/>
    <col min="64" max="65" width="4.7109375" customWidth="1"/>
    <col min="66" max="66" width="3.5703125" customWidth="1"/>
    <col min="67" max="67" width="8.28515625" customWidth="1"/>
    <col min="68" max="68" width="8.140625" customWidth="1"/>
    <col min="69" max="69" width="6.28515625" customWidth="1"/>
    <col min="70" max="70" width="6.42578125" customWidth="1"/>
    <col min="71" max="71" width="5.7109375" customWidth="1"/>
    <col min="72" max="73" width="3.85546875" customWidth="1"/>
    <col min="74" max="74" width="3.5703125" customWidth="1"/>
    <col min="75" max="77" width="5" hidden="1" customWidth="1"/>
    <col min="78" max="79" width="8.85546875" customWidth="1"/>
    <col min="80" max="80" width="8.42578125" customWidth="1"/>
    <col min="81" max="81" width="11.28515625" customWidth="1"/>
    <col min="82" max="82" width="9.28515625" customWidth="1"/>
    <col min="83" max="83" width="10.42578125" hidden="1" customWidth="1"/>
    <col min="84" max="84" width="0.140625" hidden="1" customWidth="1"/>
    <col min="85" max="85" width="8.42578125" hidden="1" customWidth="1"/>
    <col min="86" max="86" width="9" hidden="1" customWidth="1"/>
    <col min="87" max="87" width="11.42578125" customWidth="1"/>
  </cols>
  <sheetData>
    <row r="1" spans="1:88" ht="15" customHeight="1" x14ac:dyDescent="0.2">
      <c r="B1" s="257" t="s">
        <v>31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</row>
    <row r="2" spans="1:88" s="4" customFormat="1" ht="15" customHeight="1" x14ac:dyDescent="0.2">
      <c r="B2" s="31" t="s">
        <v>63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21"/>
      <c r="AF2" s="21"/>
      <c r="AG2" s="21"/>
      <c r="AH2" s="21"/>
      <c r="AI2" s="21"/>
      <c r="AJ2" s="21"/>
      <c r="BD2" s="5"/>
    </row>
    <row r="3" spans="1:88" s="4" customFormat="1" ht="15" customHeight="1" x14ac:dyDescent="0.2">
      <c r="B3" s="3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21"/>
      <c r="AF3" s="21"/>
      <c r="AG3" s="21"/>
      <c r="AH3" s="21"/>
      <c r="AI3" s="21"/>
      <c r="AJ3" s="21"/>
      <c r="BD3" s="5"/>
    </row>
    <row r="4" spans="1:88" s="14" customFormat="1" ht="24.75" customHeight="1" x14ac:dyDescent="0.2">
      <c r="A4" s="241"/>
      <c r="B4" s="243" t="s">
        <v>71</v>
      </c>
      <c r="C4" s="243" t="s">
        <v>4</v>
      </c>
      <c r="D4" s="269" t="s">
        <v>35</v>
      </c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1"/>
      <c r="X4" s="272" t="s">
        <v>40</v>
      </c>
      <c r="Y4" s="273"/>
      <c r="Z4" s="273"/>
      <c r="AA4" s="273"/>
      <c r="AB4" s="273"/>
      <c r="AC4" s="273"/>
      <c r="AD4" s="273"/>
      <c r="AE4" s="274"/>
      <c r="AF4" s="143">
        <v>0.97350000000000003</v>
      </c>
      <c r="AG4" s="143">
        <v>2.6499999999999999E-2</v>
      </c>
      <c r="AH4" s="260" t="s">
        <v>45</v>
      </c>
      <c r="AI4" s="263" t="s">
        <v>46</v>
      </c>
      <c r="AJ4" s="275" t="s">
        <v>47</v>
      </c>
      <c r="AK4" s="258" t="s">
        <v>8</v>
      </c>
      <c r="AL4" s="258"/>
      <c r="AM4" s="258"/>
      <c r="AN4" s="258"/>
      <c r="AO4" s="258"/>
      <c r="AP4" s="258"/>
      <c r="AQ4" s="258"/>
      <c r="AR4" s="258"/>
      <c r="AS4" s="251" t="s">
        <v>72</v>
      </c>
      <c r="AT4" s="252"/>
      <c r="AU4" s="252"/>
      <c r="AV4" s="252"/>
      <c r="AW4" s="252"/>
      <c r="AX4" s="252"/>
      <c r="AY4" s="253"/>
      <c r="AZ4" s="251" t="s">
        <v>73</v>
      </c>
      <c r="BA4" s="252"/>
      <c r="BB4" s="252"/>
      <c r="BC4" s="252"/>
      <c r="BD4" s="252"/>
      <c r="BE4" s="252"/>
      <c r="BF4" s="252"/>
      <c r="BG4" s="252"/>
      <c r="BH4" s="284"/>
      <c r="BI4" s="285"/>
      <c r="BJ4" s="252" t="s">
        <v>65</v>
      </c>
      <c r="BK4" s="252"/>
      <c r="BL4" s="252"/>
      <c r="BM4" s="252"/>
      <c r="BN4" s="252"/>
      <c r="BO4" s="252"/>
      <c r="BP4" s="252"/>
      <c r="BQ4" s="252"/>
      <c r="BR4" s="253"/>
      <c r="BS4" s="251" t="s">
        <v>14</v>
      </c>
      <c r="BT4" s="220"/>
      <c r="BU4" s="220"/>
      <c r="BV4" s="220"/>
      <c r="BW4" s="220"/>
      <c r="BX4" s="220"/>
      <c r="BY4" s="220"/>
      <c r="BZ4" s="220"/>
      <c r="CA4" s="220"/>
      <c r="CB4" s="220"/>
      <c r="CC4" s="221"/>
      <c r="CD4" s="216" t="s">
        <v>10</v>
      </c>
      <c r="CE4" s="242" t="s">
        <v>17</v>
      </c>
      <c r="CF4" s="242" t="s">
        <v>9</v>
      </c>
      <c r="CG4" s="220"/>
      <c r="CH4" s="221"/>
      <c r="CI4" s="242" t="s">
        <v>21</v>
      </c>
    </row>
    <row r="5" spans="1:88" s="2" customFormat="1" ht="44.25" customHeight="1" x14ac:dyDescent="0.2">
      <c r="A5" s="241"/>
      <c r="B5" s="244"/>
      <c r="C5" s="244"/>
      <c r="D5" s="223" t="s">
        <v>36</v>
      </c>
      <c r="E5" s="147" t="s">
        <v>34</v>
      </c>
      <c r="F5" s="247" t="s">
        <v>33</v>
      </c>
      <c r="G5" s="248"/>
      <c r="H5" s="248"/>
      <c r="I5" s="249"/>
      <c r="J5" s="116" t="s">
        <v>38</v>
      </c>
      <c r="K5" s="223" t="s">
        <v>29</v>
      </c>
      <c r="L5" s="216" t="s">
        <v>6</v>
      </c>
      <c r="M5" s="223" t="s">
        <v>53</v>
      </c>
      <c r="N5" s="147" t="s">
        <v>27</v>
      </c>
      <c r="O5" s="266" t="s">
        <v>5</v>
      </c>
      <c r="P5" s="267"/>
      <c r="Q5" s="267"/>
      <c r="R5" s="268"/>
      <c r="S5" s="147" t="s">
        <v>37</v>
      </c>
      <c r="T5" s="223" t="s">
        <v>29</v>
      </c>
      <c r="U5" s="216" t="s">
        <v>6</v>
      </c>
      <c r="V5" s="223" t="s">
        <v>53</v>
      </c>
      <c r="W5" s="147" t="s">
        <v>39</v>
      </c>
      <c r="X5" s="223"/>
      <c r="Y5" s="223" t="s">
        <v>68</v>
      </c>
      <c r="Z5" s="223" t="s">
        <v>69</v>
      </c>
      <c r="AA5" s="223"/>
      <c r="AB5" s="223" t="s">
        <v>49</v>
      </c>
      <c r="AC5" s="223" t="s">
        <v>66</v>
      </c>
      <c r="AD5" s="223"/>
      <c r="AE5" s="223" t="s">
        <v>67</v>
      </c>
      <c r="AF5" s="223" t="s">
        <v>43</v>
      </c>
      <c r="AG5" s="223" t="s">
        <v>44</v>
      </c>
      <c r="AH5" s="261"/>
      <c r="AI5" s="264"/>
      <c r="AJ5" s="276"/>
      <c r="AK5" s="242" t="s">
        <v>0</v>
      </c>
      <c r="AL5" s="242"/>
      <c r="AM5" s="242"/>
      <c r="AN5" s="242"/>
      <c r="AO5" s="149" t="s">
        <v>23</v>
      </c>
      <c r="AP5" s="242" t="s">
        <v>18</v>
      </c>
      <c r="AQ5" s="259" t="s">
        <v>29</v>
      </c>
      <c r="AR5" s="242" t="s">
        <v>6</v>
      </c>
      <c r="AS5" s="225" t="s">
        <v>0</v>
      </c>
      <c r="AT5" s="226"/>
      <c r="AU5" s="227"/>
      <c r="AV5" s="144" t="s">
        <v>24</v>
      </c>
      <c r="AW5" s="216" t="s">
        <v>19</v>
      </c>
      <c r="AX5" s="223" t="s">
        <v>29</v>
      </c>
      <c r="AY5" s="216" t="s">
        <v>6</v>
      </c>
      <c r="AZ5" s="228" t="s">
        <v>0</v>
      </c>
      <c r="BA5" s="229"/>
      <c r="BB5" s="230"/>
      <c r="BC5" s="278" t="s">
        <v>15</v>
      </c>
      <c r="BD5" s="145" t="s">
        <v>25</v>
      </c>
      <c r="BE5" s="256" t="s">
        <v>18</v>
      </c>
      <c r="BF5" s="223" t="s">
        <v>29</v>
      </c>
      <c r="BG5" s="281" t="s">
        <v>6</v>
      </c>
      <c r="BH5" s="174"/>
      <c r="BI5" s="256" t="s">
        <v>6</v>
      </c>
      <c r="BJ5" s="218" t="s">
        <v>0</v>
      </c>
      <c r="BK5" s="219"/>
      <c r="BL5" s="219"/>
      <c r="BM5" s="220"/>
      <c r="BN5" s="221"/>
      <c r="BO5" s="144" t="s">
        <v>25</v>
      </c>
      <c r="BP5" s="216" t="s">
        <v>19</v>
      </c>
      <c r="BQ5" s="223" t="s">
        <v>29</v>
      </c>
      <c r="BR5" s="216" t="s">
        <v>6</v>
      </c>
      <c r="BS5" s="201" t="s">
        <v>26</v>
      </c>
      <c r="BT5" s="239" t="s">
        <v>22</v>
      </c>
      <c r="BU5" s="239" t="s">
        <v>50</v>
      </c>
      <c r="BV5" s="239" t="s">
        <v>15</v>
      </c>
      <c r="BW5" s="201" t="s">
        <v>26</v>
      </c>
      <c r="BX5" s="255" t="s">
        <v>22</v>
      </c>
      <c r="BY5" s="239" t="s">
        <v>15</v>
      </c>
      <c r="BZ5" s="216" t="s">
        <v>25</v>
      </c>
      <c r="CA5" s="223" t="s">
        <v>18</v>
      </c>
      <c r="CB5" s="223" t="s">
        <v>29</v>
      </c>
      <c r="CC5" s="256" t="s">
        <v>6</v>
      </c>
      <c r="CD5" s="280"/>
      <c r="CE5" s="283"/>
      <c r="CF5" s="250"/>
      <c r="CG5" s="223" t="s">
        <v>29</v>
      </c>
      <c r="CH5" s="256" t="s">
        <v>6</v>
      </c>
      <c r="CI5" s="250"/>
    </row>
    <row r="6" spans="1:88" s="3" customFormat="1" ht="70.5" customHeight="1" x14ac:dyDescent="0.2">
      <c r="A6" s="241"/>
      <c r="B6" s="245"/>
      <c r="C6" s="245"/>
      <c r="D6" s="224"/>
      <c r="E6" s="151">
        <v>0.97350000000000003</v>
      </c>
      <c r="F6" s="152" t="s">
        <v>51</v>
      </c>
      <c r="G6" s="152" t="s">
        <v>28</v>
      </c>
      <c r="H6" s="153" t="s">
        <v>50</v>
      </c>
      <c r="I6" s="134" t="s">
        <v>52</v>
      </c>
      <c r="J6" s="115">
        <v>15668</v>
      </c>
      <c r="K6" s="224"/>
      <c r="L6" s="217"/>
      <c r="M6" s="224"/>
      <c r="N6" s="154" t="s">
        <v>70</v>
      </c>
      <c r="O6" s="153" t="s">
        <v>20</v>
      </c>
      <c r="P6" s="153" t="s">
        <v>30</v>
      </c>
      <c r="Q6" s="153" t="s">
        <v>50</v>
      </c>
      <c r="R6" s="155" t="s">
        <v>64</v>
      </c>
      <c r="S6" s="57">
        <v>3087</v>
      </c>
      <c r="T6" s="224"/>
      <c r="U6" s="217"/>
      <c r="V6" s="224"/>
      <c r="W6" s="154" t="s">
        <v>70</v>
      </c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62"/>
      <c r="AI6" s="265"/>
      <c r="AJ6" s="277"/>
      <c r="AK6" s="152" t="s">
        <v>30</v>
      </c>
      <c r="AL6" s="35" t="s">
        <v>12</v>
      </c>
      <c r="AM6" s="153" t="s">
        <v>22</v>
      </c>
      <c r="AN6" s="153" t="s">
        <v>15</v>
      </c>
      <c r="AO6" s="126">
        <v>0</v>
      </c>
      <c r="AP6" s="242"/>
      <c r="AQ6" s="242"/>
      <c r="AR6" s="242"/>
      <c r="AS6" s="175" t="s">
        <v>30</v>
      </c>
      <c r="AT6" s="153" t="s">
        <v>22</v>
      </c>
      <c r="AU6" s="152" t="s">
        <v>15</v>
      </c>
      <c r="AV6" s="57">
        <v>2520</v>
      </c>
      <c r="AW6" s="217"/>
      <c r="AX6" s="217"/>
      <c r="AY6" s="217"/>
      <c r="AZ6" s="152" t="s">
        <v>30</v>
      </c>
      <c r="BA6" s="37" t="s">
        <v>13</v>
      </c>
      <c r="BB6" s="176" t="s">
        <v>22</v>
      </c>
      <c r="BC6" s="279"/>
      <c r="BD6" s="57">
        <v>8821</v>
      </c>
      <c r="BE6" s="217"/>
      <c r="BF6" s="217"/>
      <c r="BG6" s="282"/>
      <c r="BH6" s="177"/>
      <c r="BI6" s="217"/>
      <c r="BJ6" s="176" t="s">
        <v>22</v>
      </c>
      <c r="BK6" s="37" t="s">
        <v>12</v>
      </c>
      <c r="BL6" s="152" t="s">
        <v>30</v>
      </c>
      <c r="BM6" s="153" t="s">
        <v>50</v>
      </c>
      <c r="BN6" s="155" t="s">
        <v>62</v>
      </c>
      <c r="BO6" s="59">
        <v>35</v>
      </c>
      <c r="BP6" s="217"/>
      <c r="BQ6" s="217"/>
      <c r="BR6" s="217"/>
      <c r="BS6" s="44">
        <v>100</v>
      </c>
      <c r="BT6" s="240"/>
      <c r="BU6" s="240"/>
      <c r="BV6" s="240"/>
      <c r="BW6" s="44">
        <v>97</v>
      </c>
      <c r="BX6" s="240"/>
      <c r="BY6" s="240"/>
      <c r="BZ6" s="254"/>
      <c r="CA6" s="217"/>
      <c r="CB6" s="217"/>
      <c r="CC6" s="254"/>
      <c r="CD6" s="254"/>
      <c r="CE6" s="283"/>
      <c r="CF6" s="250"/>
      <c r="CG6" s="217"/>
      <c r="CH6" s="254"/>
      <c r="CI6" s="250"/>
    </row>
    <row r="7" spans="1:88" s="3" customFormat="1" ht="19.5" customHeight="1" x14ac:dyDescent="0.2">
      <c r="A7" s="128"/>
      <c r="B7" s="110"/>
      <c r="C7" s="32"/>
      <c r="D7" s="105"/>
      <c r="E7" s="146"/>
      <c r="F7" s="133"/>
      <c r="G7" s="105"/>
      <c r="H7" s="137"/>
      <c r="I7" s="133"/>
      <c r="J7" s="105"/>
      <c r="K7" s="47"/>
      <c r="L7" s="146"/>
      <c r="M7" s="34"/>
      <c r="N7" s="111"/>
      <c r="O7" s="156"/>
      <c r="P7" s="156"/>
      <c r="Q7" s="146"/>
      <c r="R7" s="39"/>
      <c r="S7" s="34"/>
      <c r="T7" s="47"/>
      <c r="U7" s="146"/>
      <c r="V7" s="34"/>
      <c r="W7" s="34"/>
      <c r="X7" s="146"/>
      <c r="Y7" s="146"/>
      <c r="Z7" s="146"/>
      <c r="AA7" s="146"/>
      <c r="AB7" s="146"/>
      <c r="AC7" s="146"/>
      <c r="AD7" s="146"/>
      <c r="AE7" s="146"/>
      <c r="AF7" s="108"/>
      <c r="AG7" s="108"/>
      <c r="AH7" s="109"/>
      <c r="AI7" s="146"/>
      <c r="AJ7" s="146"/>
      <c r="AK7" s="35"/>
      <c r="AL7" s="35"/>
      <c r="AM7" s="35"/>
      <c r="AN7" s="35"/>
      <c r="AO7" s="127"/>
      <c r="AP7" s="127"/>
      <c r="AQ7" s="149"/>
      <c r="AR7" s="149"/>
      <c r="AS7" s="58"/>
      <c r="AT7" s="35"/>
      <c r="AU7" s="178"/>
      <c r="AV7" s="34"/>
      <c r="AW7" s="34"/>
      <c r="AX7" s="146"/>
      <c r="AY7" s="146"/>
      <c r="AZ7" s="40"/>
      <c r="BA7" s="37"/>
      <c r="BB7" s="38"/>
      <c r="BC7" s="39"/>
      <c r="BD7" s="41"/>
      <c r="BE7" s="42"/>
      <c r="BF7" s="146"/>
      <c r="BG7" s="36"/>
      <c r="BH7" s="177"/>
      <c r="BI7" s="146"/>
      <c r="BJ7" s="35"/>
      <c r="BK7" s="37"/>
      <c r="BL7" s="38"/>
      <c r="BM7" s="38"/>
      <c r="BN7" s="39"/>
      <c r="BO7" s="43"/>
      <c r="BP7" s="44"/>
      <c r="BQ7" s="146"/>
      <c r="BR7" s="146"/>
      <c r="BS7" s="148"/>
      <c r="BT7" s="45"/>
      <c r="BU7" s="45"/>
      <c r="BV7" s="45"/>
      <c r="BW7" s="45"/>
      <c r="BX7" s="45"/>
      <c r="BY7" s="45"/>
      <c r="BZ7" s="46"/>
      <c r="CA7" s="148"/>
      <c r="CB7" s="146"/>
      <c r="CC7" s="45"/>
      <c r="CD7" s="45"/>
      <c r="CE7" s="47"/>
      <c r="CF7" s="48"/>
      <c r="CG7" s="48"/>
      <c r="CH7" s="48"/>
      <c r="CI7" s="48"/>
    </row>
    <row r="8" spans="1:88" ht="15" customHeight="1" x14ac:dyDescent="0.2">
      <c r="A8" s="129">
        <v>1</v>
      </c>
      <c r="B8" s="6" t="s">
        <v>55</v>
      </c>
      <c r="C8" s="50" t="s">
        <v>1</v>
      </c>
      <c r="D8" s="52">
        <v>73900</v>
      </c>
      <c r="E8" s="52">
        <f t="shared" ref="E8:E17" si="0">D8*97.35/100</f>
        <v>71941.649999999994</v>
      </c>
      <c r="F8" s="117">
        <v>15</v>
      </c>
      <c r="G8" s="117">
        <v>15</v>
      </c>
      <c r="H8" s="117">
        <v>15</v>
      </c>
      <c r="I8" s="135">
        <f t="shared" ref="I8:I17" si="1">F8-G8</f>
        <v>0</v>
      </c>
      <c r="J8" s="52">
        <f>F8*J6</f>
        <v>235020</v>
      </c>
      <c r="K8" s="157">
        <f>I8*J6</f>
        <v>0</v>
      </c>
      <c r="L8" s="157">
        <v>0</v>
      </c>
      <c r="M8" s="53">
        <f>G8*J6</f>
        <v>235020</v>
      </c>
      <c r="N8" s="158">
        <f t="shared" ref="N8:N17" si="2">M8*97.35/100</f>
        <v>228791.97</v>
      </c>
      <c r="O8" s="49">
        <v>350</v>
      </c>
      <c r="P8" s="49">
        <v>350</v>
      </c>
      <c r="Q8" s="159">
        <v>350</v>
      </c>
      <c r="R8" s="160">
        <f>O8-P8</f>
        <v>0</v>
      </c>
      <c r="S8" s="53">
        <f>O8*S6</f>
        <v>1080450</v>
      </c>
      <c r="T8" s="157">
        <v>0</v>
      </c>
      <c r="U8" s="157">
        <v>0</v>
      </c>
      <c r="V8" s="53">
        <f>Q8*S6</f>
        <v>1080450</v>
      </c>
      <c r="W8" s="53">
        <f>O8*S6*97.35/100</f>
        <v>1051818.075</v>
      </c>
      <c r="X8" s="167"/>
      <c r="Y8" s="167"/>
      <c r="Z8" s="167"/>
      <c r="AA8" s="167"/>
      <c r="AB8" s="167"/>
      <c r="AC8" s="167">
        <v>26975.47</v>
      </c>
      <c r="AD8" s="167"/>
      <c r="AE8" s="118">
        <f>S23*1.3/2.65/2697*O8</f>
        <v>18702.42493511318</v>
      </c>
      <c r="AF8" s="118">
        <f t="shared" ref="AF8:AF17" si="3">E8+N8+W8</f>
        <v>1352551.6949999998</v>
      </c>
      <c r="AG8" s="118">
        <f t="shared" ref="AG8:AG17" si="4">X8+Y8+Z8+AA8+AB8+AC8+AD8</f>
        <v>26975.47</v>
      </c>
      <c r="AH8" s="118">
        <f t="shared" ref="AH8:AH17" si="5">AF8+AG8</f>
        <v>1379527.1649999998</v>
      </c>
      <c r="AI8" s="118">
        <f t="shared" ref="AI8:AI17" si="6">AH8*0.034</f>
        <v>46903.923609999998</v>
      </c>
      <c r="AJ8" s="118">
        <f t="shared" ref="AJ8:AJ17" si="7">AH8+AI8</f>
        <v>1426431.0886099997</v>
      </c>
      <c r="AK8" s="179">
        <v>0</v>
      </c>
      <c r="AL8" s="179">
        <v>0</v>
      </c>
      <c r="AM8" s="179">
        <v>0</v>
      </c>
      <c r="AN8" s="180">
        <f>AM8-AK8</f>
        <v>0</v>
      </c>
      <c r="AO8" s="53">
        <f>AM8*$AO$6</f>
        <v>0</v>
      </c>
      <c r="AP8" s="53">
        <f>AK8*AO6</f>
        <v>0</v>
      </c>
      <c r="AQ8" s="54">
        <f>AN8*AO6</f>
        <v>0</v>
      </c>
      <c r="AR8" s="157">
        <f>IF(AM8&lt;=AK8,(AM8-AK8)*$AO$6,0)*-1</f>
        <v>0</v>
      </c>
      <c r="AS8" s="179"/>
      <c r="AT8" s="179"/>
      <c r="AU8" s="93"/>
      <c r="AV8" s="53">
        <f t="shared" ref="AV8:AV17" si="8">AT8*$AV$6</f>
        <v>0</v>
      </c>
      <c r="AW8" s="53">
        <f>AS8*AV6</f>
        <v>0</v>
      </c>
      <c r="AX8" s="54">
        <f t="shared" ref="AX8:AX17" si="9">IF(AT8&gt;=AS8,(AT8-AS8)*$AV$6,0)</f>
        <v>0</v>
      </c>
      <c r="AY8" s="157">
        <v>0</v>
      </c>
      <c r="AZ8" s="22"/>
      <c r="BA8" s="29"/>
      <c r="BB8" s="181"/>
      <c r="BC8" s="182">
        <f>BB8-AZ8</f>
        <v>0</v>
      </c>
      <c r="BD8" s="52">
        <f t="shared" ref="BD8:BD17" si="10">BB8*$BD$6</f>
        <v>0</v>
      </c>
      <c r="BE8" s="54">
        <f>AZ8*$BE$6</f>
        <v>0</v>
      </c>
      <c r="BF8" s="183">
        <f>IF(BB8&gt;=AZ8,(BB8-AZ8)*$BE$6,0)</f>
        <v>0</v>
      </c>
      <c r="BG8" s="184">
        <f>IF(BB8&lt;=AZ8,(AZ8-BB8)*$BE$6,0)</f>
        <v>0</v>
      </c>
      <c r="BH8" s="1"/>
      <c r="BI8" s="9">
        <f>BE8*BF6</f>
        <v>0</v>
      </c>
      <c r="BJ8" s="190">
        <f t="shared" ref="BJ8:BJ17" si="11">O8</f>
        <v>350</v>
      </c>
      <c r="BK8" s="190">
        <v>0</v>
      </c>
      <c r="BL8" s="33">
        <f t="shared" ref="BL8:BL17" si="12">P8</f>
        <v>350</v>
      </c>
      <c r="BM8" s="33">
        <f t="shared" ref="BM8:BM17" si="13">Q8</f>
        <v>350</v>
      </c>
      <c r="BN8" s="191">
        <v>0</v>
      </c>
      <c r="BO8" s="56">
        <f t="shared" ref="BO8:BO17" si="14">BJ8*$BO$6</f>
        <v>12250</v>
      </c>
      <c r="BP8" s="9">
        <f>BJ8*BO6</f>
        <v>12250</v>
      </c>
      <c r="BQ8" s="192">
        <v>0</v>
      </c>
      <c r="BR8" s="9">
        <v>0</v>
      </c>
      <c r="BS8" s="202">
        <v>281</v>
      </c>
      <c r="BT8" s="203">
        <v>275</v>
      </c>
      <c r="BU8" s="203">
        <v>281</v>
      </c>
      <c r="BV8" s="204">
        <f>BT8-BS8</f>
        <v>-6</v>
      </c>
      <c r="BW8" s="202"/>
      <c r="BX8" s="203"/>
      <c r="BY8" s="204">
        <f t="shared" ref="BY8:BY19" si="15">BX8-BW8</f>
        <v>0</v>
      </c>
      <c r="BZ8" s="56">
        <f>BT8*100</f>
        <v>27500</v>
      </c>
      <c r="CA8" s="9">
        <f>BT8*BS6</f>
        <v>27500</v>
      </c>
      <c r="CB8" s="192">
        <v>0</v>
      </c>
      <c r="CC8" s="16">
        <f>BV8*BS6*-1</f>
        <v>600</v>
      </c>
      <c r="CD8" s="16"/>
      <c r="CE8" s="205"/>
      <c r="CF8" s="130" t="e">
        <f>#REF!+#REF!+X8+#REF!+Y8+AP8++AW8+#REF!+BE8+BP8+CA8+CD8+CE8</f>
        <v>#REF!</v>
      </c>
      <c r="CG8" s="130"/>
      <c r="CH8" s="130"/>
      <c r="CI8" s="130">
        <f t="shared" ref="CI8:CI17" si="16">AJ8+AP8+AW8+BE8+BP8+CA8+CD8</f>
        <v>1466181.0886099997</v>
      </c>
    </row>
    <row r="9" spans="1:88" ht="15" customHeight="1" x14ac:dyDescent="0.2">
      <c r="A9" s="129">
        <v>2</v>
      </c>
      <c r="B9" s="6" t="s">
        <v>16</v>
      </c>
      <c r="C9" s="50" t="s">
        <v>1</v>
      </c>
      <c r="D9" s="52">
        <v>73900</v>
      </c>
      <c r="E9" s="52">
        <f t="shared" si="0"/>
        <v>71941.649999999994</v>
      </c>
      <c r="F9" s="117">
        <v>17</v>
      </c>
      <c r="G9" s="117">
        <v>20</v>
      </c>
      <c r="H9" s="117">
        <v>20</v>
      </c>
      <c r="I9" s="135">
        <f>F9-G9</f>
        <v>-3</v>
      </c>
      <c r="J9" s="52">
        <f>F9*J6</f>
        <v>266356</v>
      </c>
      <c r="K9" s="157">
        <v>0</v>
      </c>
      <c r="L9" s="157">
        <f>I9*J6*-1</f>
        <v>47004</v>
      </c>
      <c r="M9" s="53">
        <f>F9*J6</f>
        <v>266356</v>
      </c>
      <c r="N9" s="158">
        <f t="shared" si="2"/>
        <v>259297.56599999999</v>
      </c>
      <c r="O9" s="161">
        <v>456</v>
      </c>
      <c r="P9" s="161">
        <v>461</v>
      </c>
      <c r="Q9" s="159">
        <v>456</v>
      </c>
      <c r="R9" s="160">
        <v>0</v>
      </c>
      <c r="S9" s="53">
        <f>O9*S6</f>
        <v>1407672</v>
      </c>
      <c r="T9" s="157">
        <v>0</v>
      </c>
      <c r="U9" s="157">
        <v>0</v>
      </c>
      <c r="V9" s="53">
        <f>O9*S6</f>
        <v>1407672</v>
      </c>
      <c r="W9" s="53">
        <f>O9*S6*97.35/100</f>
        <v>1370368.6919999998</v>
      </c>
      <c r="X9" s="167"/>
      <c r="Y9" s="167"/>
      <c r="Z9" s="167"/>
      <c r="AA9" s="167"/>
      <c r="AB9" s="167"/>
      <c r="AC9" s="167"/>
      <c r="AD9" s="167"/>
      <c r="AE9" s="118">
        <f>S23*1.3/2.65/2697*O9</f>
        <v>24366.587915461743</v>
      </c>
      <c r="AF9" s="118">
        <f t="shared" si="3"/>
        <v>1701607.9079999998</v>
      </c>
      <c r="AG9" s="118">
        <f t="shared" si="4"/>
        <v>0</v>
      </c>
      <c r="AH9" s="118">
        <f t="shared" si="5"/>
        <v>1701607.9079999998</v>
      </c>
      <c r="AI9" s="118">
        <f t="shared" si="6"/>
        <v>57854.668871999995</v>
      </c>
      <c r="AJ9" s="118">
        <f t="shared" si="7"/>
        <v>1759462.5768719998</v>
      </c>
      <c r="AK9" s="7"/>
      <c r="AL9" s="7"/>
      <c r="AM9" s="7"/>
      <c r="AN9" s="180"/>
      <c r="AO9" s="53"/>
      <c r="AP9" s="53"/>
      <c r="AQ9" s="54"/>
      <c r="AR9" s="157"/>
      <c r="AS9" s="7">
        <v>6</v>
      </c>
      <c r="AT9" s="7">
        <v>6</v>
      </c>
      <c r="AU9" s="93">
        <f>AT9-AS9</f>
        <v>0</v>
      </c>
      <c r="AV9" s="53">
        <f t="shared" si="8"/>
        <v>15120</v>
      </c>
      <c r="AW9" s="53">
        <f>AT9*AV6</f>
        <v>15120</v>
      </c>
      <c r="AX9" s="54">
        <f t="shared" si="9"/>
        <v>0</v>
      </c>
      <c r="AY9" s="157">
        <f>AU9*AV6*-1</f>
        <v>0</v>
      </c>
      <c r="AZ9" s="22">
        <v>6</v>
      </c>
      <c r="BA9" s="29">
        <v>0</v>
      </c>
      <c r="BB9" s="181">
        <v>6</v>
      </c>
      <c r="BC9" s="182">
        <f>BB9-AZ9</f>
        <v>0</v>
      </c>
      <c r="BD9" s="52">
        <f t="shared" si="10"/>
        <v>52926</v>
      </c>
      <c r="BE9" s="54">
        <f>AZ9*BD6</f>
        <v>52926</v>
      </c>
      <c r="BF9" s="118">
        <f>BC9*BD6</f>
        <v>0</v>
      </c>
      <c r="BG9" s="185">
        <f>BC9*BD6</f>
        <v>0</v>
      </c>
      <c r="BH9" s="1"/>
      <c r="BI9" s="9">
        <f>IF(BD9&lt;=BB9,(BB9-BD9)*$BP$6,0)</f>
        <v>0</v>
      </c>
      <c r="BJ9" s="190">
        <f t="shared" si="11"/>
        <v>456</v>
      </c>
      <c r="BK9" s="190">
        <v>0</v>
      </c>
      <c r="BL9" s="33">
        <f t="shared" si="12"/>
        <v>461</v>
      </c>
      <c r="BM9" s="33">
        <f t="shared" si="13"/>
        <v>456</v>
      </c>
      <c r="BN9" s="191">
        <v>0</v>
      </c>
      <c r="BO9" s="56">
        <f t="shared" si="14"/>
        <v>15960</v>
      </c>
      <c r="BP9" s="9">
        <f>BJ9*BO6</f>
        <v>15960</v>
      </c>
      <c r="BQ9" s="192">
        <v>0</v>
      </c>
      <c r="BR9" s="9">
        <f t="shared" ref="BR9:BR17" si="17">IF(BL9&lt;=BJ9,(BJ9-BL9)*$BP$6,0)</f>
        <v>0</v>
      </c>
      <c r="BS9" s="206">
        <v>197</v>
      </c>
      <c r="BT9" s="207">
        <v>191</v>
      </c>
      <c r="BU9" s="207">
        <v>197</v>
      </c>
      <c r="BV9" s="204">
        <f>BT9-BS9</f>
        <v>-6</v>
      </c>
      <c r="BW9" s="206">
        <v>0</v>
      </c>
      <c r="BX9" s="207">
        <v>0</v>
      </c>
      <c r="BY9" s="204">
        <f t="shared" si="15"/>
        <v>0</v>
      </c>
      <c r="BZ9" s="56">
        <f>BT9*100</f>
        <v>19100</v>
      </c>
      <c r="CA9" s="9">
        <f>BT9*BS6</f>
        <v>19100</v>
      </c>
      <c r="CB9" s="192">
        <v>0</v>
      </c>
      <c r="CC9" s="16">
        <f>BV9*BS6*-1</f>
        <v>600</v>
      </c>
      <c r="CD9" s="16"/>
      <c r="CE9" s="53">
        <v>1</v>
      </c>
      <c r="CF9" s="130" t="e">
        <f>#REF!+#REF!+X9+#REF!+Y9+AP9++AW9+#REF!+BE9+BP9+CA9+CD9+CE9</f>
        <v>#REF!</v>
      </c>
      <c r="CG9" s="130"/>
      <c r="CH9" s="130"/>
      <c r="CI9" s="130">
        <f t="shared" si="16"/>
        <v>1862568.5768719998</v>
      </c>
    </row>
    <row r="10" spans="1:88" ht="15" customHeight="1" x14ac:dyDescent="0.2">
      <c r="A10" s="129">
        <v>3</v>
      </c>
      <c r="B10" s="6" t="s">
        <v>57</v>
      </c>
      <c r="C10" s="50" t="s">
        <v>1</v>
      </c>
      <c r="D10" s="52">
        <v>73900</v>
      </c>
      <c r="E10" s="52">
        <f t="shared" si="0"/>
        <v>71941.649999999994</v>
      </c>
      <c r="F10" s="117">
        <v>14</v>
      </c>
      <c r="G10" s="117">
        <v>14</v>
      </c>
      <c r="H10" s="117">
        <v>14</v>
      </c>
      <c r="I10" s="135">
        <f t="shared" si="1"/>
        <v>0</v>
      </c>
      <c r="J10" s="52">
        <f>F10*J6</f>
        <v>219352</v>
      </c>
      <c r="K10" s="157">
        <f>I10*J6</f>
        <v>0</v>
      </c>
      <c r="L10" s="157">
        <v>0</v>
      </c>
      <c r="M10" s="53">
        <f>G10*J6</f>
        <v>219352</v>
      </c>
      <c r="N10" s="158">
        <f t="shared" si="2"/>
        <v>213539.17199999999</v>
      </c>
      <c r="O10" s="49">
        <v>337</v>
      </c>
      <c r="P10" s="49">
        <v>337</v>
      </c>
      <c r="Q10" s="159">
        <v>337</v>
      </c>
      <c r="R10" s="160">
        <f>O10-P10</f>
        <v>0</v>
      </c>
      <c r="S10" s="53">
        <f>O10*S6</f>
        <v>1040319</v>
      </c>
      <c r="T10" s="157">
        <v>0</v>
      </c>
      <c r="U10" s="157">
        <v>0</v>
      </c>
      <c r="V10" s="53">
        <f>Q10*S6</f>
        <v>1040319</v>
      </c>
      <c r="W10" s="53">
        <f>O10*S6*97.35/100</f>
        <v>1012750.5464999999</v>
      </c>
      <c r="X10" s="167"/>
      <c r="Y10" s="167"/>
      <c r="Z10" s="167"/>
      <c r="AA10" s="167"/>
      <c r="AB10" s="167"/>
      <c r="AC10" s="167"/>
      <c r="AD10" s="167"/>
      <c r="AE10" s="118">
        <f>S23*1.3/2.65/2697*O10</f>
        <v>18007.763437523263</v>
      </c>
      <c r="AF10" s="118">
        <f t="shared" si="3"/>
        <v>1298231.3684999999</v>
      </c>
      <c r="AG10" s="118">
        <f t="shared" si="4"/>
        <v>0</v>
      </c>
      <c r="AH10" s="118">
        <f t="shared" si="5"/>
        <v>1298231.3684999999</v>
      </c>
      <c r="AI10" s="118">
        <f t="shared" si="6"/>
        <v>44139.866528999999</v>
      </c>
      <c r="AJ10" s="118">
        <f t="shared" si="7"/>
        <v>1342371.2350289999</v>
      </c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93"/>
      <c r="AV10" s="53">
        <f t="shared" si="8"/>
        <v>0</v>
      </c>
      <c r="AW10" s="53">
        <f>AS10*AV8</f>
        <v>0</v>
      </c>
      <c r="AX10" s="54">
        <f t="shared" si="9"/>
        <v>0</v>
      </c>
      <c r="AY10" s="157">
        <v>0</v>
      </c>
      <c r="AZ10" s="22"/>
      <c r="BA10" s="29"/>
      <c r="BB10" s="181"/>
      <c r="BC10" s="182">
        <f>-BB10-AZ10</f>
        <v>0</v>
      </c>
      <c r="BD10" s="52">
        <f t="shared" si="10"/>
        <v>0</v>
      </c>
      <c r="BE10" s="54">
        <v>0</v>
      </c>
      <c r="BF10" s="118">
        <v>0</v>
      </c>
      <c r="BG10" s="185">
        <f>IF(BB10&lt;=AZ10,(AZ10-BB10)*$BE$6,0)</f>
        <v>0</v>
      </c>
      <c r="BH10" s="1"/>
      <c r="BI10" s="9">
        <f>IF(BD10&lt;=BB10,(BB10-BD10)*$BP$6,0)</f>
        <v>0</v>
      </c>
      <c r="BJ10" s="190">
        <f t="shared" si="11"/>
        <v>337</v>
      </c>
      <c r="BK10" s="190">
        <v>0</v>
      </c>
      <c r="BL10" s="33">
        <f t="shared" si="12"/>
        <v>337</v>
      </c>
      <c r="BM10" s="33">
        <f t="shared" si="13"/>
        <v>337</v>
      </c>
      <c r="BN10" s="191">
        <v>0</v>
      </c>
      <c r="BO10" s="56">
        <f t="shared" si="14"/>
        <v>11795</v>
      </c>
      <c r="BP10" s="9">
        <f>BJ10*BO6</f>
        <v>11795</v>
      </c>
      <c r="BQ10" s="192">
        <v>0</v>
      </c>
      <c r="BR10" s="9">
        <f t="shared" si="17"/>
        <v>0</v>
      </c>
      <c r="BS10" s="53"/>
      <c r="BT10" s="208"/>
      <c r="BU10" s="208"/>
      <c r="BV10" s="204">
        <f t="shared" ref="BV10:BV17" si="18">BT10-BS10</f>
        <v>0</v>
      </c>
      <c r="BW10" s="53"/>
      <c r="BX10" s="208"/>
      <c r="BY10" s="204">
        <f t="shared" si="15"/>
        <v>0</v>
      </c>
      <c r="BZ10" s="56">
        <f t="shared" ref="BZ10:BZ17" si="19">BS10*87</f>
        <v>0</v>
      </c>
      <c r="CA10" s="9">
        <f t="shared" ref="CA10:CA17" si="20">BT10*87</f>
        <v>0</v>
      </c>
      <c r="CB10" s="192">
        <f t="shared" ref="CB10:CB17" si="21">BV10*87</f>
        <v>0</v>
      </c>
      <c r="CC10" s="16">
        <f t="shared" ref="CC10:CC17" si="22">BV10*-87</f>
        <v>0</v>
      </c>
      <c r="CD10" s="16"/>
      <c r="CE10" s="53"/>
      <c r="CF10" s="130" t="e">
        <f>#REF!+#REF!+X10+#REF!+Y10+AP10++AW10+#REF!+BE10+BP10+CA10+CD10+CE10</f>
        <v>#REF!</v>
      </c>
      <c r="CG10" s="130"/>
      <c r="CH10" s="130"/>
      <c r="CI10" s="130">
        <f t="shared" si="16"/>
        <v>1354166.2350289999</v>
      </c>
    </row>
    <row r="11" spans="1:88" s="1" customFormat="1" ht="14.25" customHeight="1" x14ac:dyDescent="0.2">
      <c r="A11" s="129">
        <v>4</v>
      </c>
      <c r="B11" s="33" t="s">
        <v>54</v>
      </c>
      <c r="C11" s="51" t="s">
        <v>1</v>
      </c>
      <c r="D11" s="52">
        <v>73900</v>
      </c>
      <c r="E11" s="52">
        <f t="shared" si="0"/>
        <v>71941.649999999994</v>
      </c>
      <c r="F11" s="117">
        <v>14</v>
      </c>
      <c r="G11" s="117">
        <v>14</v>
      </c>
      <c r="H11" s="117">
        <v>14</v>
      </c>
      <c r="I11" s="135">
        <f t="shared" si="1"/>
        <v>0</v>
      </c>
      <c r="J11" s="52">
        <f>F11*J6</f>
        <v>219352</v>
      </c>
      <c r="K11" s="157">
        <f>I11*J6</f>
        <v>0</v>
      </c>
      <c r="L11" s="157">
        <v>0</v>
      </c>
      <c r="M11" s="53">
        <f>G11*J6</f>
        <v>219352</v>
      </c>
      <c r="N11" s="158">
        <f t="shared" si="2"/>
        <v>213539.17199999999</v>
      </c>
      <c r="O11" s="49">
        <v>283</v>
      </c>
      <c r="P11" s="49">
        <v>283</v>
      </c>
      <c r="Q11" s="159">
        <v>285</v>
      </c>
      <c r="R11" s="160">
        <f>P11-Q11</f>
        <v>-2</v>
      </c>
      <c r="S11" s="53">
        <f>O11*S6</f>
        <v>873621</v>
      </c>
      <c r="T11" s="157">
        <v>0</v>
      </c>
      <c r="U11" s="157">
        <f>R11*S6*-1</f>
        <v>6174</v>
      </c>
      <c r="V11" s="53">
        <f>P11*S6</f>
        <v>873621</v>
      </c>
      <c r="W11" s="53">
        <f>O11*S6*97.35/100</f>
        <v>850470.04349999991</v>
      </c>
      <c r="X11" s="168"/>
      <c r="Y11" s="167"/>
      <c r="Z11" s="167"/>
      <c r="AA11" s="167"/>
      <c r="AB11" s="167"/>
      <c r="AC11" s="167">
        <v>26975.47</v>
      </c>
      <c r="AD11" s="167"/>
      <c r="AE11" s="118">
        <f>S23*1.3/2.65/2697*O11</f>
        <v>15122.246447534371</v>
      </c>
      <c r="AF11" s="118">
        <f t="shared" si="3"/>
        <v>1135950.8654999998</v>
      </c>
      <c r="AG11" s="118">
        <f t="shared" si="4"/>
        <v>26975.47</v>
      </c>
      <c r="AH11" s="118">
        <f t="shared" si="5"/>
        <v>1162926.3354999998</v>
      </c>
      <c r="AI11" s="118">
        <f t="shared" si="6"/>
        <v>39539.495406999995</v>
      </c>
      <c r="AJ11" s="118">
        <f t="shared" si="7"/>
        <v>1202465.8309069998</v>
      </c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93"/>
      <c r="AV11" s="53">
        <f t="shared" si="8"/>
        <v>0</v>
      </c>
      <c r="AW11" s="53">
        <f>AS11*AV9</f>
        <v>0</v>
      </c>
      <c r="AX11" s="54">
        <f t="shared" si="9"/>
        <v>0</v>
      </c>
      <c r="AY11" s="157">
        <v>0</v>
      </c>
      <c r="AZ11" s="22"/>
      <c r="BA11" s="29"/>
      <c r="BB11" s="181"/>
      <c r="BC11" s="182">
        <f t="shared" ref="BC11:BC17" si="23">BB11-AZ11</f>
        <v>0</v>
      </c>
      <c r="BD11" s="52">
        <f t="shared" si="10"/>
        <v>0</v>
      </c>
      <c r="BE11" s="54">
        <f>AZ11*$BE$6</f>
        <v>0</v>
      </c>
      <c r="BF11" s="118">
        <f t="shared" ref="BF11:BF17" si="24">IF(BB11&gt;=AZ11,(BB11-AZ11)*$BE$6,0)</f>
        <v>0</v>
      </c>
      <c r="BG11" s="185">
        <f>IF(BB11&lt;=AZ11,(AZ11-BB11)*$BE$6,0)</f>
        <v>0</v>
      </c>
      <c r="BI11" s="9">
        <v>0</v>
      </c>
      <c r="BJ11" s="190">
        <f t="shared" si="11"/>
        <v>283</v>
      </c>
      <c r="BK11" s="190">
        <v>0</v>
      </c>
      <c r="BL11" s="33">
        <f t="shared" si="12"/>
        <v>283</v>
      </c>
      <c r="BM11" s="33">
        <f t="shared" si="13"/>
        <v>285</v>
      </c>
      <c r="BN11" s="191">
        <f>BJ11-BM11</f>
        <v>-2</v>
      </c>
      <c r="BO11" s="56">
        <f t="shared" si="14"/>
        <v>9905</v>
      </c>
      <c r="BP11" s="9">
        <f>BJ11*BO6</f>
        <v>9905</v>
      </c>
      <c r="BQ11" s="192">
        <v>0</v>
      </c>
      <c r="BR11" s="9">
        <f>BN11*BO6*-1</f>
        <v>70</v>
      </c>
      <c r="BS11" s="53"/>
      <c r="BT11" s="208"/>
      <c r="BU11" s="208"/>
      <c r="BV11" s="204">
        <f t="shared" si="18"/>
        <v>0</v>
      </c>
      <c r="BW11" s="53"/>
      <c r="BX11" s="208"/>
      <c r="BY11" s="204">
        <f t="shared" si="15"/>
        <v>0</v>
      </c>
      <c r="BZ11" s="56">
        <f t="shared" si="19"/>
        <v>0</v>
      </c>
      <c r="CA11" s="9">
        <f t="shared" si="20"/>
        <v>0</v>
      </c>
      <c r="CB11" s="192">
        <f t="shared" si="21"/>
        <v>0</v>
      </c>
      <c r="CC11" s="16">
        <f t="shared" si="22"/>
        <v>0</v>
      </c>
      <c r="CD11" s="16"/>
      <c r="CE11" s="53"/>
      <c r="CF11" s="130" t="e">
        <f>#REF!+#REF!+X11+#REF!+Y11+AP11++AW11+#REF!+BE11+BP11+CA11+CD11+CE11</f>
        <v>#REF!</v>
      </c>
      <c r="CG11" s="130"/>
      <c r="CH11" s="130"/>
      <c r="CI11" s="130">
        <f t="shared" si="16"/>
        <v>1212370.8309069998</v>
      </c>
      <c r="CJ11" s="104"/>
    </row>
    <row r="12" spans="1:88" s="1" customFormat="1" ht="15" customHeight="1" x14ac:dyDescent="0.2">
      <c r="A12" s="129">
        <v>5</v>
      </c>
      <c r="B12" s="33" t="s">
        <v>56</v>
      </c>
      <c r="C12" s="51" t="s">
        <v>1</v>
      </c>
      <c r="D12" s="52">
        <v>73900</v>
      </c>
      <c r="E12" s="52">
        <f t="shared" si="0"/>
        <v>71941.649999999994</v>
      </c>
      <c r="F12" s="117">
        <v>7</v>
      </c>
      <c r="G12" s="117">
        <v>7</v>
      </c>
      <c r="H12" s="117">
        <v>7</v>
      </c>
      <c r="I12" s="135">
        <f t="shared" si="1"/>
        <v>0</v>
      </c>
      <c r="J12" s="52">
        <f>F12*J6</f>
        <v>109676</v>
      </c>
      <c r="K12" s="157">
        <f>I12*J6</f>
        <v>0</v>
      </c>
      <c r="L12" s="157">
        <v>0</v>
      </c>
      <c r="M12" s="53">
        <f>G12*J6</f>
        <v>109676</v>
      </c>
      <c r="N12" s="158">
        <f t="shared" si="2"/>
        <v>106769.586</v>
      </c>
      <c r="O12" s="49">
        <v>154</v>
      </c>
      <c r="P12" s="49">
        <v>154</v>
      </c>
      <c r="Q12" s="159">
        <v>154</v>
      </c>
      <c r="R12" s="160">
        <f t="shared" ref="R12:R15" si="25">O12-P12</f>
        <v>0</v>
      </c>
      <c r="S12" s="53">
        <f>O12*S6</f>
        <v>475398</v>
      </c>
      <c r="T12" s="157">
        <f>R12*S6</f>
        <v>0</v>
      </c>
      <c r="U12" s="157">
        <v>0</v>
      </c>
      <c r="V12" s="53">
        <f>P12*S6</f>
        <v>475398</v>
      </c>
      <c r="W12" s="53">
        <f>O12*S6*97.35/100</f>
        <v>462799.95299999998</v>
      </c>
      <c r="X12" s="167"/>
      <c r="Y12" s="167">
        <v>33257.43</v>
      </c>
      <c r="Z12" s="167"/>
      <c r="AA12" s="167"/>
      <c r="AB12" s="167"/>
      <c r="AC12" s="167"/>
      <c r="AD12" s="167"/>
      <c r="AE12" s="118">
        <f>S23*1.3/2.65/2697*O12</f>
        <v>8229.0669714497999</v>
      </c>
      <c r="AF12" s="118">
        <f t="shared" si="3"/>
        <v>641511.18900000001</v>
      </c>
      <c r="AG12" s="118">
        <f t="shared" si="4"/>
        <v>33257.43</v>
      </c>
      <c r="AH12" s="118">
        <f t="shared" si="5"/>
        <v>674768.61900000006</v>
      </c>
      <c r="AI12" s="118">
        <f t="shared" si="6"/>
        <v>22942.133046000003</v>
      </c>
      <c r="AJ12" s="118">
        <f t="shared" si="7"/>
        <v>697710.7520460001</v>
      </c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93"/>
      <c r="AV12" s="53">
        <f t="shared" si="8"/>
        <v>0</v>
      </c>
      <c r="AW12" s="53">
        <f>AS12*AV10</f>
        <v>0</v>
      </c>
      <c r="AX12" s="54">
        <f t="shared" si="9"/>
        <v>0</v>
      </c>
      <c r="AY12" s="157">
        <v>0</v>
      </c>
      <c r="AZ12" s="22">
        <v>1</v>
      </c>
      <c r="BA12" s="29"/>
      <c r="BB12" s="181">
        <v>0</v>
      </c>
      <c r="BC12" s="182">
        <f t="shared" si="23"/>
        <v>-1</v>
      </c>
      <c r="BD12" s="52">
        <f t="shared" si="10"/>
        <v>0</v>
      </c>
      <c r="BE12" s="54">
        <f>BB12*BD6</f>
        <v>0</v>
      </c>
      <c r="BF12" s="118">
        <f t="shared" si="24"/>
        <v>0</v>
      </c>
      <c r="BG12" s="185">
        <f>BC12*BD6</f>
        <v>-8821</v>
      </c>
      <c r="BI12" s="9">
        <f>BC12*BD6*-1</f>
        <v>8821</v>
      </c>
      <c r="BJ12" s="190">
        <f t="shared" si="11"/>
        <v>154</v>
      </c>
      <c r="BK12" s="190">
        <v>0</v>
      </c>
      <c r="BL12" s="33">
        <f t="shared" si="12"/>
        <v>154</v>
      </c>
      <c r="BM12" s="33">
        <f t="shared" si="13"/>
        <v>154</v>
      </c>
      <c r="BN12" s="191">
        <f t="shared" ref="BN12:BN15" si="26">BJ12-BL12</f>
        <v>0</v>
      </c>
      <c r="BO12" s="56">
        <f t="shared" si="14"/>
        <v>5390</v>
      </c>
      <c r="BP12" s="9">
        <f>BJ12*BO6</f>
        <v>5390</v>
      </c>
      <c r="BQ12" s="192">
        <v>0</v>
      </c>
      <c r="BR12" s="9">
        <f>BN12*BO6</f>
        <v>0</v>
      </c>
      <c r="BS12" s="53"/>
      <c r="BT12" s="208"/>
      <c r="BU12" s="208"/>
      <c r="BV12" s="204">
        <f t="shared" si="18"/>
        <v>0</v>
      </c>
      <c r="BW12" s="53"/>
      <c r="BX12" s="208"/>
      <c r="BY12" s="204">
        <f t="shared" si="15"/>
        <v>0</v>
      </c>
      <c r="BZ12" s="56">
        <f t="shared" si="19"/>
        <v>0</v>
      </c>
      <c r="CA12" s="9">
        <f t="shared" si="20"/>
        <v>0</v>
      </c>
      <c r="CB12" s="192">
        <f t="shared" si="21"/>
        <v>0</v>
      </c>
      <c r="CC12" s="16">
        <f t="shared" si="22"/>
        <v>0</v>
      </c>
      <c r="CD12" s="16"/>
      <c r="CE12" s="53"/>
      <c r="CF12" s="130" t="e">
        <f>#REF!+#REF!+X12+#REF!+Y12+AP12++AW12+#REF!+BE12+BP12+CA12+CD12+CE12</f>
        <v>#REF!</v>
      </c>
      <c r="CG12" s="130"/>
      <c r="CH12" s="130"/>
      <c r="CI12" s="130">
        <f t="shared" si="16"/>
        <v>703100.7520460001</v>
      </c>
    </row>
    <row r="13" spans="1:88" s="1" customFormat="1" ht="15" customHeight="1" x14ac:dyDescent="0.2">
      <c r="A13" s="129">
        <v>6</v>
      </c>
      <c r="B13" s="33" t="s">
        <v>58</v>
      </c>
      <c r="C13" s="51" t="s">
        <v>1</v>
      </c>
      <c r="D13" s="52">
        <v>73900</v>
      </c>
      <c r="E13" s="52">
        <f t="shared" si="0"/>
        <v>71941.649999999994</v>
      </c>
      <c r="F13" s="117">
        <v>29</v>
      </c>
      <c r="G13" s="117">
        <v>29</v>
      </c>
      <c r="H13" s="117">
        <v>29</v>
      </c>
      <c r="I13" s="135">
        <f t="shared" si="1"/>
        <v>0</v>
      </c>
      <c r="J13" s="52">
        <f>F13*J6</f>
        <v>454372</v>
      </c>
      <c r="K13" s="157">
        <f>I13*J6</f>
        <v>0</v>
      </c>
      <c r="L13" s="157">
        <v>0</v>
      </c>
      <c r="M13" s="53">
        <f>G13*J6</f>
        <v>454372</v>
      </c>
      <c r="N13" s="158">
        <f t="shared" si="2"/>
        <v>442331.14199999993</v>
      </c>
      <c r="O13" s="162">
        <v>672</v>
      </c>
      <c r="P13" s="162">
        <v>672</v>
      </c>
      <c r="Q13" s="159">
        <v>673</v>
      </c>
      <c r="R13" s="160">
        <f>P13-Q13</f>
        <v>-1</v>
      </c>
      <c r="S13" s="53">
        <f>O13*S6</f>
        <v>2074464</v>
      </c>
      <c r="T13" s="157">
        <v>0</v>
      </c>
      <c r="U13" s="157">
        <f>R13*S6*-1</f>
        <v>3087</v>
      </c>
      <c r="V13" s="53">
        <f>O13*S6</f>
        <v>2074464</v>
      </c>
      <c r="W13" s="53">
        <f>O13*S6*97.35/100</f>
        <v>2019490.7039999997</v>
      </c>
      <c r="X13" s="168"/>
      <c r="Y13" s="167"/>
      <c r="Z13" s="167"/>
      <c r="AA13" s="167"/>
      <c r="AB13" s="167"/>
      <c r="AC13" s="167"/>
      <c r="AD13" s="167"/>
      <c r="AE13" s="118">
        <f>S23*1.3/2.65/2697*O13</f>
        <v>35908.655875417309</v>
      </c>
      <c r="AF13" s="118">
        <f t="shared" si="3"/>
        <v>2533763.4959999993</v>
      </c>
      <c r="AG13" s="118">
        <f t="shared" si="4"/>
        <v>0</v>
      </c>
      <c r="AH13" s="118">
        <f t="shared" si="5"/>
        <v>2533763.4959999993</v>
      </c>
      <c r="AI13" s="118">
        <f t="shared" si="6"/>
        <v>86147.958863999986</v>
      </c>
      <c r="AJ13" s="118">
        <f t="shared" si="7"/>
        <v>2619911.4548639995</v>
      </c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93"/>
      <c r="AV13" s="53">
        <f t="shared" si="8"/>
        <v>0</v>
      </c>
      <c r="AW13" s="53">
        <f>AS13*AV11</f>
        <v>0</v>
      </c>
      <c r="AX13" s="54">
        <f t="shared" si="9"/>
        <v>0</v>
      </c>
      <c r="AY13" s="157">
        <v>0</v>
      </c>
      <c r="AZ13" s="22"/>
      <c r="BA13" s="29"/>
      <c r="BB13" s="181"/>
      <c r="BC13" s="182">
        <f t="shared" si="23"/>
        <v>0</v>
      </c>
      <c r="BD13" s="52">
        <f t="shared" si="10"/>
        <v>0</v>
      </c>
      <c r="BE13" s="54">
        <f>AZ13*$BE$6</f>
        <v>0</v>
      </c>
      <c r="BF13" s="118">
        <f t="shared" si="24"/>
        <v>0</v>
      </c>
      <c r="BG13" s="185">
        <f>IF(BB13&lt;=AZ13,(AZ13-BB13)*$BE$6,0)</f>
        <v>0</v>
      </c>
      <c r="BI13" s="9">
        <f>BE13*BF6</f>
        <v>0</v>
      </c>
      <c r="BJ13" s="190">
        <f t="shared" si="11"/>
        <v>672</v>
      </c>
      <c r="BK13" s="190">
        <v>0</v>
      </c>
      <c r="BL13" s="33">
        <f t="shared" si="12"/>
        <v>672</v>
      </c>
      <c r="BM13" s="33">
        <f t="shared" si="13"/>
        <v>673</v>
      </c>
      <c r="BN13" s="191">
        <f>BJ13-BM13</f>
        <v>-1</v>
      </c>
      <c r="BO13" s="56">
        <f t="shared" si="14"/>
        <v>23520</v>
      </c>
      <c r="BP13" s="9">
        <f>BJ13*BO6</f>
        <v>23520</v>
      </c>
      <c r="BQ13" s="192">
        <v>0</v>
      </c>
      <c r="BR13" s="9">
        <f>BN13*BO6*-1</f>
        <v>35</v>
      </c>
      <c r="BS13" s="206"/>
      <c r="BT13" s="207"/>
      <c r="BU13" s="207"/>
      <c r="BV13" s="204">
        <f t="shared" si="18"/>
        <v>0</v>
      </c>
      <c r="BW13" s="206"/>
      <c r="BX13" s="207"/>
      <c r="BY13" s="204">
        <f t="shared" si="15"/>
        <v>0</v>
      </c>
      <c r="BZ13" s="56">
        <f t="shared" si="19"/>
        <v>0</v>
      </c>
      <c r="CA13" s="9">
        <f t="shared" si="20"/>
        <v>0</v>
      </c>
      <c r="CB13" s="192">
        <f t="shared" si="21"/>
        <v>0</v>
      </c>
      <c r="CC13" s="16">
        <f t="shared" si="22"/>
        <v>0</v>
      </c>
      <c r="CD13" s="16"/>
      <c r="CE13" s="53"/>
      <c r="CF13" s="130" t="e">
        <f>#REF!+#REF!+X13+#REF!+Y13+AP13++AW13+#REF!+BE13+BP13+CA13+CD13+CE13</f>
        <v>#REF!</v>
      </c>
      <c r="CG13" s="130"/>
      <c r="CH13" s="130"/>
      <c r="CI13" s="130">
        <f t="shared" si="16"/>
        <v>2643431.4548639995</v>
      </c>
    </row>
    <row r="14" spans="1:88" s="1" customFormat="1" ht="15" customHeight="1" x14ac:dyDescent="0.2">
      <c r="A14" s="129">
        <v>7</v>
      </c>
      <c r="B14" s="33" t="s">
        <v>59</v>
      </c>
      <c r="C14" s="51" t="s">
        <v>1</v>
      </c>
      <c r="D14" s="52">
        <v>73900</v>
      </c>
      <c r="E14" s="52">
        <f t="shared" si="0"/>
        <v>71941.649999999994</v>
      </c>
      <c r="F14" s="117">
        <v>13</v>
      </c>
      <c r="G14" s="117">
        <v>13</v>
      </c>
      <c r="H14" s="117">
        <v>13</v>
      </c>
      <c r="I14" s="135">
        <f t="shared" si="1"/>
        <v>0</v>
      </c>
      <c r="J14" s="52">
        <f>F14*J6</f>
        <v>203684</v>
      </c>
      <c r="K14" s="157">
        <v>0</v>
      </c>
      <c r="L14" s="157">
        <v>0</v>
      </c>
      <c r="M14" s="53">
        <f>G14*J6</f>
        <v>203684</v>
      </c>
      <c r="N14" s="158">
        <f t="shared" si="2"/>
        <v>198286.37399999998</v>
      </c>
      <c r="O14" s="49">
        <v>280</v>
      </c>
      <c r="P14" s="49">
        <v>280</v>
      </c>
      <c r="Q14" s="159">
        <v>280</v>
      </c>
      <c r="R14" s="160">
        <f>O14-P14</f>
        <v>0</v>
      </c>
      <c r="S14" s="53">
        <f>O14*S6</f>
        <v>864360</v>
      </c>
      <c r="T14" s="157">
        <v>0</v>
      </c>
      <c r="U14" s="157">
        <v>0</v>
      </c>
      <c r="V14" s="53">
        <f>Q14*S6</f>
        <v>864360</v>
      </c>
      <c r="W14" s="53">
        <f>O14*S6*97.35/100</f>
        <v>841454.46</v>
      </c>
      <c r="X14" s="167"/>
      <c r="Y14" s="167"/>
      <c r="Z14" s="167"/>
      <c r="AA14" s="167"/>
      <c r="AB14" s="167"/>
      <c r="AC14" s="167"/>
      <c r="AD14" s="167"/>
      <c r="AE14" s="118">
        <f>S23*1.3/2.65/2697*O14</f>
        <v>14961.939948090545</v>
      </c>
      <c r="AF14" s="118">
        <f t="shared" si="3"/>
        <v>1111682.4839999999</v>
      </c>
      <c r="AG14" s="118">
        <f t="shared" si="4"/>
        <v>0</v>
      </c>
      <c r="AH14" s="118">
        <f t="shared" si="5"/>
        <v>1111682.4839999999</v>
      </c>
      <c r="AI14" s="118">
        <f t="shared" si="6"/>
        <v>37797.204455999999</v>
      </c>
      <c r="AJ14" s="118">
        <f t="shared" si="7"/>
        <v>1149479.6884559998</v>
      </c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93"/>
      <c r="AV14" s="53">
        <f t="shared" si="8"/>
        <v>0</v>
      </c>
      <c r="AW14" s="53">
        <f>AS14*AV12</f>
        <v>0</v>
      </c>
      <c r="AX14" s="54">
        <f t="shared" si="9"/>
        <v>0</v>
      </c>
      <c r="AY14" s="157">
        <v>0</v>
      </c>
      <c r="AZ14" s="22"/>
      <c r="BA14" s="29"/>
      <c r="BB14" s="181"/>
      <c r="BC14" s="182">
        <f t="shared" si="23"/>
        <v>0</v>
      </c>
      <c r="BD14" s="52">
        <f t="shared" si="10"/>
        <v>0</v>
      </c>
      <c r="BE14" s="54">
        <f>BB14*BD6</f>
        <v>0</v>
      </c>
      <c r="BF14" s="118">
        <f t="shared" si="24"/>
        <v>0</v>
      </c>
      <c r="BG14" s="185">
        <f>-BC14*BD6</f>
        <v>0</v>
      </c>
      <c r="BI14" s="9">
        <v>0</v>
      </c>
      <c r="BJ14" s="190">
        <f t="shared" si="11"/>
        <v>280</v>
      </c>
      <c r="BK14" s="190">
        <v>0</v>
      </c>
      <c r="BL14" s="33">
        <f t="shared" si="12"/>
        <v>280</v>
      </c>
      <c r="BM14" s="33">
        <f t="shared" si="13"/>
        <v>280</v>
      </c>
      <c r="BN14" s="191">
        <v>0</v>
      </c>
      <c r="BO14" s="56">
        <f t="shared" si="14"/>
        <v>9800</v>
      </c>
      <c r="BP14" s="9">
        <f>BJ14*BO6</f>
        <v>9800</v>
      </c>
      <c r="BQ14" s="192">
        <v>0</v>
      </c>
      <c r="BR14" s="9">
        <v>0</v>
      </c>
      <c r="BS14" s="53"/>
      <c r="BT14" s="208"/>
      <c r="BU14" s="208"/>
      <c r="BV14" s="204">
        <f t="shared" si="18"/>
        <v>0</v>
      </c>
      <c r="BW14" s="53"/>
      <c r="BX14" s="208"/>
      <c r="BY14" s="204">
        <f t="shared" si="15"/>
        <v>0</v>
      </c>
      <c r="BZ14" s="56">
        <f t="shared" si="19"/>
        <v>0</v>
      </c>
      <c r="CA14" s="9">
        <f t="shared" si="20"/>
        <v>0</v>
      </c>
      <c r="CB14" s="192">
        <f t="shared" si="21"/>
        <v>0</v>
      </c>
      <c r="CC14" s="16">
        <f t="shared" si="22"/>
        <v>0</v>
      </c>
      <c r="CD14" s="16"/>
      <c r="CE14" s="53"/>
      <c r="CF14" s="130" t="e">
        <f>#REF!+#REF!+X14+#REF!+Y14+AP14++AW14+#REF!+BE14+BP14+CA14+CD14+CE14</f>
        <v>#REF!</v>
      </c>
      <c r="CG14" s="130"/>
      <c r="CH14" s="130"/>
      <c r="CI14" s="130">
        <f t="shared" si="16"/>
        <v>1159279.6884559998</v>
      </c>
    </row>
    <row r="15" spans="1:88" ht="15" customHeight="1" x14ac:dyDescent="0.2">
      <c r="A15" s="129">
        <v>8</v>
      </c>
      <c r="B15" s="6" t="s">
        <v>60</v>
      </c>
      <c r="C15" s="50" t="s">
        <v>11</v>
      </c>
      <c r="D15" s="52">
        <v>73900</v>
      </c>
      <c r="E15" s="52">
        <f t="shared" si="0"/>
        <v>71941.649999999994</v>
      </c>
      <c r="F15" s="117">
        <v>7</v>
      </c>
      <c r="G15" s="117">
        <v>7</v>
      </c>
      <c r="H15" s="117">
        <v>7</v>
      </c>
      <c r="I15" s="135">
        <f t="shared" si="1"/>
        <v>0</v>
      </c>
      <c r="J15" s="52">
        <f>F15*J6</f>
        <v>109676</v>
      </c>
      <c r="K15" s="157">
        <f>I15*J6</f>
        <v>0</v>
      </c>
      <c r="L15" s="157">
        <v>0</v>
      </c>
      <c r="M15" s="53">
        <f>G15*J6</f>
        <v>109676</v>
      </c>
      <c r="N15" s="158">
        <f t="shared" si="2"/>
        <v>106769.586</v>
      </c>
      <c r="O15" s="49">
        <v>51</v>
      </c>
      <c r="P15" s="49">
        <v>51</v>
      </c>
      <c r="Q15" s="159">
        <v>51</v>
      </c>
      <c r="R15" s="160">
        <f t="shared" si="25"/>
        <v>0</v>
      </c>
      <c r="S15" s="53">
        <f>O15*S6</f>
        <v>157437</v>
      </c>
      <c r="T15" s="157">
        <v>0</v>
      </c>
      <c r="U15" s="157">
        <v>0</v>
      </c>
      <c r="V15" s="53">
        <f>P15*S6</f>
        <v>157437</v>
      </c>
      <c r="W15" s="53">
        <f>O15*S6*97.35/100</f>
        <v>153264.91949999999</v>
      </c>
      <c r="X15" s="167"/>
      <c r="Y15" s="167"/>
      <c r="Z15" s="167">
        <v>12416.11</v>
      </c>
      <c r="AA15" s="167"/>
      <c r="AB15" s="167"/>
      <c r="AC15" s="167"/>
      <c r="AD15" s="167"/>
      <c r="AE15" s="118">
        <f>S23*1.3/2.65/2697*O15</f>
        <v>2725.2104905450633</v>
      </c>
      <c r="AF15" s="118">
        <f t="shared" si="3"/>
        <v>331976.15549999999</v>
      </c>
      <c r="AG15" s="118">
        <f t="shared" si="4"/>
        <v>12416.11</v>
      </c>
      <c r="AH15" s="118">
        <f t="shared" si="5"/>
        <v>344392.26549999998</v>
      </c>
      <c r="AI15" s="118">
        <f t="shared" si="6"/>
        <v>11709.337027</v>
      </c>
      <c r="AJ15" s="118">
        <f t="shared" si="7"/>
        <v>356101.60252699995</v>
      </c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93"/>
      <c r="AV15" s="53">
        <f t="shared" si="8"/>
        <v>0</v>
      </c>
      <c r="AW15" s="53">
        <f>AS15*AV6</f>
        <v>0</v>
      </c>
      <c r="AX15" s="54">
        <f t="shared" si="9"/>
        <v>0</v>
      </c>
      <c r="AY15" s="157">
        <v>0</v>
      </c>
      <c r="AZ15" s="22"/>
      <c r="BA15" s="29"/>
      <c r="BB15" s="181"/>
      <c r="BC15" s="182">
        <f t="shared" si="23"/>
        <v>0</v>
      </c>
      <c r="BD15" s="52">
        <f t="shared" si="10"/>
        <v>0</v>
      </c>
      <c r="BE15" s="54">
        <f>AZ15*$BE$6</f>
        <v>0</v>
      </c>
      <c r="BF15" s="118">
        <f t="shared" si="24"/>
        <v>0</v>
      </c>
      <c r="BG15" s="185">
        <f>IF(BB15&lt;=AZ15,(AZ15-BB15)*$BE$6,0)</f>
        <v>0</v>
      </c>
      <c r="BH15" s="1"/>
      <c r="BI15" s="9">
        <f>IF(BD15&lt;=BB15,(BB15-BD15)*$BP$6,0)</f>
        <v>0</v>
      </c>
      <c r="BJ15" s="190">
        <f t="shared" si="11"/>
        <v>51</v>
      </c>
      <c r="BK15" s="190">
        <v>0</v>
      </c>
      <c r="BL15" s="33">
        <f t="shared" si="12"/>
        <v>51</v>
      </c>
      <c r="BM15" s="33">
        <f t="shared" si="13"/>
        <v>51</v>
      </c>
      <c r="BN15" s="191">
        <f t="shared" si="26"/>
        <v>0</v>
      </c>
      <c r="BO15" s="56">
        <f t="shared" si="14"/>
        <v>1785</v>
      </c>
      <c r="BP15" s="9">
        <f>BJ15*BO6</f>
        <v>1785</v>
      </c>
      <c r="BQ15" s="192">
        <f>BN15*BO6*-1</f>
        <v>0</v>
      </c>
      <c r="BR15" s="9">
        <f t="shared" si="17"/>
        <v>0</v>
      </c>
      <c r="BS15" s="53"/>
      <c r="BT15" s="208"/>
      <c r="BU15" s="208"/>
      <c r="BV15" s="204">
        <f t="shared" si="18"/>
        <v>0</v>
      </c>
      <c r="BW15" s="53"/>
      <c r="BX15" s="208"/>
      <c r="BY15" s="204">
        <f t="shared" si="15"/>
        <v>0</v>
      </c>
      <c r="BZ15" s="56">
        <f t="shared" si="19"/>
        <v>0</v>
      </c>
      <c r="CA15" s="9">
        <f t="shared" si="20"/>
        <v>0</v>
      </c>
      <c r="CB15" s="192">
        <f t="shared" si="21"/>
        <v>0</v>
      </c>
      <c r="CC15" s="16">
        <f t="shared" si="22"/>
        <v>0</v>
      </c>
      <c r="CD15" s="16"/>
      <c r="CE15" s="53"/>
      <c r="CF15" s="130" t="e">
        <f>#REF!+#REF!+X15+#REF!+Y15+AP15++AW15+#REF!+BE15+BP15+CA15+CD15+CE15</f>
        <v>#REF!</v>
      </c>
      <c r="CG15" s="130"/>
      <c r="CH15" s="130"/>
      <c r="CI15" s="130">
        <f t="shared" si="16"/>
        <v>357886.60252699995</v>
      </c>
    </row>
    <row r="16" spans="1:88" s="1" customFormat="1" ht="15" customHeight="1" x14ac:dyDescent="0.2">
      <c r="A16" s="129">
        <v>9</v>
      </c>
      <c r="B16" s="33" t="s">
        <v>61</v>
      </c>
      <c r="C16" s="51" t="s">
        <v>2</v>
      </c>
      <c r="D16" s="52">
        <v>73900</v>
      </c>
      <c r="E16" s="52">
        <f t="shared" si="0"/>
        <v>71941.649999999994</v>
      </c>
      <c r="F16" s="117">
        <v>6</v>
      </c>
      <c r="G16" s="117">
        <v>6</v>
      </c>
      <c r="H16" s="117">
        <v>6</v>
      </c>
      <c r="I16" s="135">
        <f t="shared" si="1"/>
        <v>0</v>
      </c>
      <c r="J16" s="52">
        <f>F16*J6</f>
        <v>94008</v>
      </c>
      <c r="K16" s="157">
        <f>I16*J6</f>
        <v>0</v>
      </c>
      <c r="L16" s="157">
        <v>0</v>
      </c>
      <c r="M16" s="53">
        <f>G16*J6</f>
        <v>94008</v>
      </c>
      <c r="N16" s="158">
        <f t="shared" si="2"/>
        <v>91516.787999999986</v>
      </c>
      <c r="O16" s="49">
        <v>50</v>
      </c>
      <c r="P16" s="49">
        <v>51</v>
      </c>
      <c r="Q16" s="159">
        <v>52</v>
      </c>
      <c r="R16" s="160">
        <f>O16-Q16</f>
        <v>-2</v>
      </c>
      <c r="S16" s="53">
        <f>O16*S6</f>
        <v>154350</v>
      </c>
      <c r="T16" s="157">
        <v>0</v>
      </c>
      <c r="U16" s="157">
        <f>R16*S6*-1</f>
        <v>6174</v>
      </c>
      <c r="V16" s="53">
        <f>O16*S6</f>
        <v>154350</v>
      </c>
      <c r="W16" s="53">
        <f>O16*S6*97.35/100</f>
        <v>150259.72500000001</v>
      </c>
      <c r="X16" s="167"/>
      <c r="Y16" s="167"/>
      <c r="Z16" s="167">
        <v>10642.38</v>
      </c>
      <c r="AA16" s="167"/>
      <c r="AB16" s="167"/>
      <c r="AC16" s="167">
        <v>26975.47</v>
      </c>
      <c r="AD16" s="167"/>
      <c r="AE16" s="118">
        <f>S23*1.3/2.65/2697*O16</f>
        <v>2671.7749907304542</v>
      </c>
      <c r="AF16" s="118">
        <f t="shared" si="3"/>
        <v>313718.16299999994</v>
      </c>
      <c r="AG16" s="118">
        <f t="shared" si="4"/>
        <v>37617.85</v>
      </c>
      <c r="AH16" s="118">
        <f t="shared" si="5"/>
        <v>351336.01299999992</v>
      </c>
      <c r="AI16" s="118">
        <f t="shared" si="6"/>
        <v>11945.424441999998</v>
      </c>
      <c r="AJ16" s="118">
        <f t="shared" si="7"/>
        <v>363281.43744199991</v>
      </c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93"/>
      <c r="AV16" s="53">
        <f t="shared" si="8"/>
        <v>0</v>
      </c>
      <c r="AW16" s="53">
        <f>AS16</f>
        <v>0</v>
      </c>
      <c r="AX16" s="54">
        <f t="shared" si="9"/>
        <v>0</v>
      </c>
      <c r="AY16" s="157">
        <v>0</v>
      </c>
      <c r="AZ16" s="22"/>
      <c r="BA16" s="29"/>
      <c r="BB16" s="181"/>
      <c r="BC16" s="182">
        <f t="shared" si="23"/>
        <v>0</v>
      </c>
      <c r="BD16" s="52">
        <f t="shared" si="10"/>
        <v>0</v>
      </c>
      <c r="BE16" s="54">
        <f>AZ16*$BE$6</f>
        <v>0</v>
      </c>
      <c r="BF16" s="118">
        <f t="shared" si="24"/>
        <v>0</v>
      </c>
      <c r="BG16" s="185">
        <f>IF(BB16&lt;=AZ16,(AZ16-BB16)*$BE$6,0)</f>
        <v>0</v>
      </c>
      <c r="BI16" s="9">
        <v>0</v>
      </c>
      <c r="BJ16" s="190">
        <f t="shared" si="11"/>
        <v>50</v>
      </c>
      <c r="BK16" s="190">
        <v>0</v>
      </c>
      <c r="BL16" s="33">
        <f t="shared" si="12"/>
        <v>51</v>
      </c>
      <c r="BM16" s="33">
        <f t="shared" si="13"/>
        <v>52</v>
      </c>
      <c r="BN16" s="191">
        <f>BJ16-BM16</f>
        <v>-2</v>
      </c>
      <c r="BO16" s="56">
        <f t="shared" si="14"/>
        <v>1750</v>
      </c>
      <c r="BP16" s="9">
        <f>BJ16*BO6</f>
        <v>1750</v>
      </c>
      <c r="BQ16" s="192">
        <v>0</v>
      </c>
      <c r="BR16" s="9">
        <f>BN16*BO6*-1</f>
        <v>70</v>
      </c>
      <c r="BS16" s="53"/>
      <c r="BT16" s="208"/>
      <c r="BU16" s="208"/>
      <c r="BV16" s="204">
        <f t="shared" si="18"/>
        <v>0</v>
      </c>
      <c r="BW16" s="53"/>
      <c r="BX16" s="208"/>
      <c r="BY16" s="204">
        <f t="shared" si="15"/>
        <v>0</v>
      </c>
      <c r="BZ16" s="56">
        <f t="shared" si="19"/>
        <v>0</v>
      </c>
      <c r="CA16" s="9">
        <f t="shared" si="20"/>
        <v>0</v>
      </c>
      <c r="CB16" s="192">
        <f t="shared" si="21"/>
        <v>0</v>
      </c>
      <c r="CC16" s="16">
        <f t="shared" si="22"/>
        <v>0</v>
      </c>
      <c r="CD16" s="142">
        <v>82732</v>
      </c>
      <c r="CE16" s="53"/>
      <c r="CF16" s="130" t="e">
        <f>#REF!+#REF!+X16+#REF!+Y16+AP16++AW16+#REF!+BE16+BP16+CA16+CD16+CE16</f>
        <v>#REF!</v>
      </c>
      <c r="CG16" s="130"/>
      <c r="CH16" s="130"/>
      <c r="CI16" s="130">
        <f t="shared" si="16"/>
        <v>447763.43744199991</v>
      </c>
    </row>
    <row r="17" spans="1:107" ht="15" customHeight="1" x14ac:dyDescent="0.2">
      <c r="A17" s="129">
        <v>10</v>
      </c>
      <c r="B17" s="6" t="s">
        <v>7</v>
      </c>
      <c r="C17" s="50" t="s">
        <v>3</v>
      </c>
      <c r="D17" s="52">
        <v>73900</v>
      </c>
      <c r="E17" s="52">
        <f t="shared" si="0"/>
        <v>71941.649999999994</v>
      </c>
      <c r="F17" s="117">
        <v>7</v>
      </c>
      <c r="G17" s="117">
        <v>7</v>
      </c>
      <c r="H17" s="117">
        <v>7</v>
      </c>
      <c r="I17" s="135">
        <f t="shared" si="1"/>
        <v>0</v>
      </c>
      <c r="J17" s="52">
        <f>F17*J6</f>
        <v>109676</v>
      </c>
      <c r="K17" s="157">
        <f>I17*J6</f>
        <v>0</v>
      </c>
      <c r="L17" s="157">
        <v>0</v>
      </c>
      <c r="M17" s="53">
        <f>G17*J6</f>
        <v>109676</v>
      </c>
      <c r="N17" s="158">
        <f t="shared" si="2"/>
        <v>106769.586</v>
      </c>
      <c r="O17" s="49">
        <v>64</v>
      </c>
      <c r="P17" s="49">
        <v>65</v>
      </c>
      <c r="Q17" s="159">
        <v>64</v>
      </c>
      <c r="R17" s="160">
        <v>0</v>
      </c>
      <c r="S17" s="53">
        <f>O17*S6</f>
        <v>197568</v>
      </c>
      <c r="T17" s="157">
        <f>R17*S6</f>
        <v>0</v>
      </c>
      <c r="U17" s="157">
        <v>0</v>
      </c>
      <c r="V17" s="53">
        <f>O17*S6</f>
        <v>197568</v>
      </c>
      <c r="W17" s="53">
        <f>O17*S6*97.35/100</f>
        <v>192332.44799999997</v>
      </c>
      <c r="X17" s="167"/>
      <c r="Y17" s="167"/>
      <c r="Z17" s="167">
        <v>12416.11</v>
      </c>
      <c r="AA17" s="167"/>
      <c r="AB17" s="167"/>
      <c r="AC17" s="167"/>
      <c r="AD17" s="167"/>
      <c r="AE17" s="118">
        <f>S23*1.3/2.65/2697*O17</f>
        <v>3419.8719881349816</v>
      </c>
      <c r="AF17" s="118">
        <f t="shared" si="3"/>
        <v>371043.68399999995</v>
      </c>
      <c r="AG17" s="118">
        <f t="shared" si="4"/>
        <v>12416.11</v>
      </c>
      <c r="AH17" s="118">
        <f t="shared" si="5"/>
        <v>383459.79399999994</v>
      </c>
      <c r="AI17" s="118">
        <f t="shared" si="6"/>
        <v>13037.632995999998</v>
      </c>
      <c r="AJ17" s="118">
        <f t="shared" si="7"/>
        <v>396497.42699599994</v>
      </c>
      <c r="AK17" s="7"/>
      <c r="AL17" s="7"/>
      <c r="AM17" s="7"/>
      <c r="AN17" s="7"/>
      <c r="AO17" s="7"/>
      <c r="AP17" s="7"/>
      <c r="AQ17" s="7"/>
      <c r="AR17" s="7"/>
      <c r="AS17" s="7">
        <v>1</v>
      </c>
      <c r="AT17" s="7">
        <v>1</v>
      </c>
      <c r="AU17" s="93">
        <v>0</v>
      </c>
      <c r="AV17" s="53">
        <f t="shared" si="8"/>
        <v>2520</v>
      </c>
      <c r="AW17" s="53">
        <f>AV17</f>
        <v>2520</v>
      </c>
      <c r="AX17" s="54">
        <f t="shared" si="9"/>
        <v>0</v>
      </c>
      <c r="AY17" s="157">
        <v>0</v>
      </c>
      <c r="AZ17" s="22">
        <v>2</v>
      </c>
      <c r="BA17" s="29"/>
      <c r="BB17" s="181">
        <v>1</v>
      </c>
      <c r="BC17" s="182">
        <f t="shared" si="23"/>
        <v>-1</v>
      </c>
      <c r="BD17" s="52">
        <f t="shared" si="10"/>
        <v>8821</v>
      </c>
      <c r="BE17" s="55">
        <f>BD17</f>
        <v>8821</v>
      </c>
      <c r="BF17" s="118">
        <f t="shared" si="24"/>
        <v>0</v>
      </c>
      <c r="BG17" s="185">
        <f>IF(BB17&lt;=AZ17,(AZ17-BB17)*$BE$6,0)</f>
        <v>0</v>
      </c>
      <c r="BH17" s="1"/>
      <c r="BI17" s="9">
        <f>BC17*BD6*-1</f>
        <v>8821</v>
      </c>
      <c r="BJ17" s="190">
        <f t="shared" si="11"/>
        <v>64</v>
      </c>
      <c r="BK17" s="190">
        <v>0</v>
      </c>
      <c r="BL17" s="33">
        <f t="shared" si="12"/>
        <v>65</v>
      </c>
      <c r="BM17" s="33">
        <f t="shared" si="13"/>
        <v>64</v>
      </c>
      <c r="BN17" s="191">
        <v>0</v>
      </c>
      <c r="BO17" s="56">
        <f t="shared" si="14"/>
        <v>2240</v>
      </c>
      <c r="BP17" s="9">
        <f>BJ17*BO6</f>
        <v>2240</v>
      </c>
      <c r="BQ17" s="192">
        <v>0</v>
      </c>
      <c r="BR17" s="9">
        <f t="shared" si="17"/>
        <v>0</v>
      </c>
      <c r="BS17" s="53"/>
      <c r="BT17" s="208"/>
      <c r="BU17" s="208"/>
      <c r="BV17" s="204">
        <f t="shared" si="18"/>
        <v>0</v>
      </c>
      <c r="BW17" s="53"/>
      <c r="BX17" s="208"/>
      <c r="BY17" s="204">
        <f t="shared" si="15"/>
        <v>0</v>
      </c>
      <c r="BZ17" s="56">
        <f t="shared" si="19"/>
        <v>0</v>
      </c>
      <c r="CA17" s="9">
        <f t="shared" si="20"/>
        <v>0</v>
      </c>
      <c r="CB17" s="192">
        <f t="shared" si="21"/>
        <v>0</v>
      </c>
      <c r="CC17" s="16">
        <f t="shared" si="22"/>
        <v>0</v>
      </c>
      <c r="CD17" s="142">
        <v>67913</v>
      </c>
      <c r="CE17" s="53"/>
      <c r="CF17" s="130" t="e">
        <f>#REF!+#REF!+X17+#REF!+Y17+AP17++AW17+#REF!+BE17+BP17+CA17+CD17+CE17</f>
        <v>#REF!</v>
      </c>
      <c r="CG17" s="130"/>
      <c r="CH17" s="130"/>
      <c r="CI17" s="130">
        <f t="shared" si="16"/>
        <v>477991.42699599994</v>
      </c>
    </row>
    <row r="18" spans="1:107" ht="15" customHeight="1" x14ac:dyDescent="0.2">
      <c r="A18" s="129"/>
      <c r="B18" s="125" t="s">
        <v>48</v>
      </c>
      <c r="C18" s="50"/>
      <c r="D18" s="52"/>
      <c r="E18" s="52"/>
      <c r="F18" s="117"/>
      <c r="G18" s="117"/>
      <c r="H18" s="117"/>
      <c r="I18" s="135"/>
      <c r="J18" s="52"/>
      <c r="K18" s="157"/>
      <c r="L18" s="157"/>
      <c r="M18" s="119"/>
      <c r="N18" s="158"/>
      <c r="O18" s="163"/>
      <c r="P18" s="163"/>
      <c r="Q18" s="164"/>
      <c r="R18" s="165"/>
      <c r="S18" s="119"/>
      <c r="T18" s="157"/>
      <c r="U18" s="157"/>
      <c r="V18" s="119"/>
      <c r="W18" s="53"/>
      <c r="X18" s="167"/>
      <c r="Y18" s="167"/>
      <c r="Z18" s="167"/>
      <c r="AA18" s="167"/>
      <c r="AB18" s="167"/>
      <c r="AC18" s="167"/>
      <c r="AD18" s="167"/>
      <c r="AE18" s="169"/>
      <c r="AF18" s="120"/>
      <c r="AG18" s="120">
        <f>AE19</f>
        <v>144115.54300000073</v>
      </c>
      <c r="AH18" s="120">
        <f>AG18</f>
        <v>144115.54300000073</v>
      </c>
      <c r="AI18" s="120">
        <f>AH18*0.034+0.42</f>
        <v>4900.3484620000254</v>
      </c>
      <c r="AJ18" s="118">
        <f>AH18+AI18+0.01</f>
        <v>149015.90146200077</v>
      </c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93"/>
      <c r="AV18" s="53">
        <f>AT18*AV6</f>
        <v>0</v>
      </c>
      <c r="AW18" s="53">
        <f>AV18</f>
        <v>0</v>
      </c>
      <c r="AX18" s="54"/>
      <c r="AY18" s="157"/>
      <c r="AZ18" s="186"/>
      <c r="BA18" s="186"/>
      <c r="BB18" s="187"/>
      <c r="BC18" s="188"/>
      <c r="BD18" s="121"/>
      <c r="BE18" s="122"/>
      <c r="BF18" s="120"/>
      <c r="BG18" s="189"/>
      <c r="BH18" s="1"/>
      <c r="BI18" s="9"/>
      <c r="BJ18" s="193"/>
      <c r="BK18" s="193"/>
      <c r="BL18" s="194"/>
      <c r="BM18" s="194"/>
      <c r="BN18" s="195"/>
      <c r="BO18" s="123"/>
      <c r="BP18" s="9"/>
      <c r="BQ18" s="192"/>
      <c r="BR18" s="9"/>
      <c r="BS18" s="119"/>
      <c r="BT18" s="209"/>
      <c r="BU18" s="209"/>
      <c r="BV18" s="204"/>
      <c r="BW18" s="119"/>
      <c r="BX18" s="209"/>
      <c r="BY18" s="204"/>
      <c r="BZ18" s="123"/>
      <c r="CA18" s="9"/>
      <c r="CB18" s="192"/>
      <c r="CC18" s="124"/>
      <c r="CD18" s="124"/>
      <c r="CE18" s="119"/>
      <c r="CF18" s="130"/>
      <c r="CG18" s="130"/>
      <c r="CH18" s="130"/>
      <c r="CI18" s="130"/>
    </row>
    <row r="19" spans="1:107" s="8" customFormat="1" ht="15" customHeight="1" thickBot="1" x14ac:dyDescent="0.25">
      <c r="A19" s="131"/>
      <c r="B19" s="215" t="s">
        <v>32</v>
      </c>
      <c r="C19" s="215"/>
      <c r="D19" s="12">
        <f>SUM(D8:D17)</f>
        <v>739000</v>
      </c>
      <c r="E19" s="12">
        <f>SUM(E8:E17)</f>
        <v>719416.50000000012</v>
      </c>
      <c r="F19" s="13">
        <f>SUM(F8:F18)</f>
        <v>129</v>
      </c>
      <c r="G19" s="13">
        <f>SUM(G8:G17)</f>
        <v>132</v>
      </c>
      <c r="H19" s="13">
        <f>SUM(H8:H18)</f>
        <v>132</v>
      </c>
      <c r="I19" s="214">
        <f>SUM(I8:I18)</f>
        <v>-3</v>
      </c>
      <c r="J19" s="12">
        <f>SUM(J8:J17)</f>
        <v>2021172</v>
      </c>
      <c r="K19" s="12">
        <f>SUM(K8:K17)</f>
        <v>0</v>
      </c>
      <c r="L19" s="12">
        <f>SUM(L8:L18)</f>
        <v>47004</v>
      </c>
      <c r="M19" s="12">
        <f>SUM(M8:M18)</f>
        <v>2021172</v>
      </c>
      <c r="N19" s="12">
        <f>SUM(N8:N17)</f>
        <v>1967610.9419999998</v>
      </c>
      <c r="O19" s="30">
        <f>SUM(O8:O17)</f>
        <v>2697</v>
      </c>
      <c r="P19" s="30">
        <f>SUM(P8:P18)</f>
        <v>2704</v>
      </c>
      <c r="Q19" s="11">
        <f>SUM(Q8:Q17)</f>
        <v>2702</v>
      </c>
      <c r="R19" s="23">
        <f>SUM(R8:R17)</f>
        <v>-5</v>
      </c>
      <c r="S19" s="12">
        <f>SUM(S8:S17)</f>
        <v>8325639</v>
      </c>
      <c r="T19" s="12">
        <f>SUM(T8:T17)</f>
        <v>0</v>
      </c>
      <c r="U19" s="12">
        <f>SUM(U8:U18)</f>
        <v>15435</v>
      </c>
      <c r="V19" s="12">
        <f>SUM(V8:V18)</f>
        <v>8325639</v>
      </c>
      <c r="W19" s="12">
        <f t="shared" ref="W19:AF19" si="27">SUM(W8:W17)</f>
        <v>8105009.5664999988</v>
      </c>
      <c r="X19" s="212">
        <f t="shared" si="27"/>
        <v>0</v>
      </c>
      <c r="Y19" s="212">
        <f t="shared" si="27"/>
        <v>33257.43</v>
      </c>
      <c r="Z19" s="212">
        <f t="shared" si="27"/>
        <v>35474.6</v>
      </c>
      <c r="AA19" s="212">
        <f t="shared" si="27"/>
        <v>0</v>
      </c>
      <c r="AB19" s="212">
        <f t="shared" si="27"/>
        <v>0</v>
      </c>
      <c r="AC19" s="212">
        <f t="shared" si="27"/>
        <v>80926.41</v>
      </c>
      <c r="AD19" s="9">
        <f t="shared" si="27"/>
        <v>0</v>
      </c>
      <c r="AE19" s="12">
        <f t="shared" si="27"/>
        <v>144115.54300000073</v>
      </c>
      <c r="AF19" s="12">
        <f t="shared" si="27"/>
        <v>10792037.0085</v>
      </c>
      <c r="AG19" s="12">
        <f>SUM(AG8:AG18)</f>
        <v>293773.98300000071</v>
      </c>
      <c r="AH19" s="12">
        <f>SUM(AH8:AH18)</f>
        <v>11085810.9915</v>
      </c>
      <c r="AI19" s="12">
        <f>SUM(AI8:AI18)</f>
        <v>376917.99371100002</v>
      </c>
      <c r="AJ19" s="12">
        <f>SUM(AJ8:AJ18)</f>
        <v>11462728.995210996</v>
      </c>
      <c r="AK19" s="13">
        <f>SUM(AK8:AK17)</f>
        <v>0</v>
      </c>
      <c r="AL19" s="13"/>
      <c r="AM19" s="13">
        <f t="shared" ref="AM19:AT19" si="28">SUM(AM8:AM17)</f>
        <v>0</v>
      </c>
      <c r="AN19" s="13">
        <f t="shared" si="28"/>
        <v>0</v>
      </c>
      <c r="AO19" s="12">
        <f t="shared" si="28"/>
        <v>0</v>
      </c>
      <c r="AP19" s="12">
        <f t="shared" si="28"/>
        <v>0</v>
      </c>
      <c r="AQ19" s="12">
        <f t="shared" si="28"/>
        <v>0</v>
      </c>
      <c r="AR19" s="12">
        <f t="shared" si="28"/>
        <v>0</v>
      </c>
      <c r="AS19" s="13">
        <f t="shared" si="28"/>
        <v>7</v>
      </c>
      <c r="AT19" s="13">
        <f t="shared" si="28"/>
        <v>7</v>
      </c>
      <c r="AU19" s="214">
        <f>SUM(AU7:AU17)</f>
        <v>0</v>
      </c>
      <c r="AV19" s="12">
        <f>SUM(AV8:AV18)</f>
        <v>17640</v>
      </c>
      <c r="AW19" s="12">
        <f t="shared" ref="AW19:BG19" si="29">SUM(AW8:AW17)</f>
        <v>17640</v>
      </c>
      <c r="AX19" s="12">
        <f t="shared" si="29"/>
        <v>0</v>
      </c>
      <c r="AY19" s="12">
        <f t="shared" si="29"/>
        <v>0</v>
      </c>
      <c r="AZ19" s="24">
        <f t="shared" si="29"/>
        <v>9</v>
      </c>
      <c r="BA19" s="24">
        <f t="shared" si="29"/>
        <v>0</v>
      </c>
      <c r="BB19" s="24">
        <f t="shared" si="29"/>
        <v>7</v>
      </c>
      <c r="BC19" s="19">
        <f t="shared" si="29"/>
        <v>-2</v>
      </c>
      <c r="BD19" s="12">
        <f t="shared" si="29"/>
        <v>61747</v>
      </c>
      <c r="BE19" s="12">
        <f t="shared" si="29"/>
        <v>61747</v>
      </c>
      <c r="BF19" s="12">
        <f t="shared" si="29"/>
        <v>0</v>
      </c>
      <c r="BG19" s="12">
        <f t="shared" si="29"/>
        <v>-8821</v>
      </c>
      <c r="BI19" s="12">
        <f>SUM(BI8:BI18)</f>
        <v>17642</v>
      </c>
      <c r="BJ19" s="13">
        <f t="shared" ref="BJ19:BO19" si="30">SUM(BJ8:BJ17)</f>
        <v>2697</v>
      </c>
      <c r="BK19" s="13">
        <f>SUM(BK8:BK17)</f>
        <v>0</v>
      </c>
      <c r="BL19" s="13">
        <f t="shared" si="30"/>
        <v>2704</v>
      </c>
      <c r="BM19" s="13">
        <f>SUM(BM8:BM18)</f>
        <v>2702</v>
      </c>
      <c r="BN19" s="19">
        <f t="shared" si="30"/>
        <v>-5</v>
      </c>
      <c r="BO19" s="12">
        <f t="shared" si="30"/>
        <v>94395</v>
      </c>
      <c r="BP19" s="212">
        <f t="shared" ref="BP19:BX19" si="31">SUM(BP8:BP17)</f>
        <v>94395</v>
      </c>
      <c r="BQ19" s="213">
        <f t="shared" si="31"/>
        <v>0</v>
      </c>
      <c r="BR19" s="212">
        <f t="shared" si="31"/>
        <v>175</v>
      </c>
      <c r="BS19" s="13">
        <f t="shared" si="31"/>
        <v>478</v>
      </c>
      <c r="BT19" s="210">
        <f t="shared" si="31"/>
        <v>466</v>
      </c>
      <c r="BU19" s="13">
        <f>SUM(BU8:BU18)</f>
        <v>478</v>
      </c>
      <c r="BV19" s="211">
        <f t="shared" si="31"/>
        <v>-12</v>
      </c>
      <c r="BW19" s="13">
        <f t="shared" si="31"/>
        <v>0</v>
      </c>
      <c r="BX19" s="210">
        <f t="shared" si="31"/>
        <v>0</v>
      </c>
      <c r="BY19" s="211">
        <f t="shared" si="15"/>
        <v>0</v>
      </c>
      <c r="BZ19" s="12">
        <f t="shared" ref="BZ19:CF19" si="32">SUM(BZ8:BZ17)</f>
        <v>46600</v>
      </c>
      <c r="CA19" s="212">
        <f t="shared" si="32"/>
        <v>46600</v>
      </c>
      <c r="CB19" s="213">
        <f t="shared" si="32"/>
        <v>0</v>
      </c>
      <c r="CC19" s="20">
        <f t="shared" si="32"/>
        <v>1200</v>
      </c>
      <c r="CD19" s="20">
        <f t="shared" si="32"/>
        <v>150645</v>
      </c>
      <c r="CE19" s="12">
        <f t="shared" si="32"/>
        <v>1</v>
      </c>
      <c r="CF19" s="17" t="e">
        <f t="shared" si="32"/>
        <v>#REF!</v>
      </c>
      <c r="CG19" s="17">
        <f t="shared" ref="CG19:CH19" si="33">SUM(CG8:CG17)</f>
        <v>0</v>
      </c>
      <c r="CH19" s="17">
        <f t="shared" si="33"/>
        <v>0</v>
      </c>
      <c r="CI19" s="17">
        <f>SUM(CI8:CI18)</f>
        <v>11684740.093748996</v>
      </c>
    </row>
    <row r="20" spans="1:107" s="8" customFormat="1" ht="15" customHeight="1" x14ac:dyDescent="0.2">
      <c r="A20" s="60"/>
      <c r="B20" s="60"/>
      <c r="C20" s="60"/>
      <c r="D20" s="106"/>
      <c r="E20" s="107"/>
      <c r="F20" s="132"/>
      <c r="G20" s="106"/>
      <c r="H20" s="138"/>
      <c r="I20" s="132"/>
      <c r="J20" s="106"/>
      <c r="K20" s="150"/>
      <c r="L20" s="150"/>
      <c r="M20" s="150"/>
      <c r="N20" s="150"/>
      <c r="O20" s="61"/>
      <c r="P20" s="61"/>
      <c r="Q20" s="166">
        <f>O8+O9+O10+O11+O12+O13+O14+O15+O16+O17</f>
        <v>2697</v>
      </c>
      <c r="R20" s="166"/>
      <c r="S20" s="141">
        <f>Q20*S6</f>
        <v>8325639</v>
      </c>
      <c r="T20" s="28"/>
      <c r="U20" s="28"/>
      <c r="V20" s="28"/>
      <c r="W20" s="28"/>
      <c r="X20" s="140">
        <f>0.3/3.93*S23</f>
        <v>22425.495534351248</v>
      </c>
      <c r="Y20" s="140">
        <f>0.6/3.93*S23</f>
        <v>44850.991068702497</v>
      </c>
      <c r="Z20" s="140">
        <f>0.5/3.93*S23</f>
        <v>37375.825890585416</v>
      </c>
      <c r="AA20" s="140"/>
      <c r="AB20" s="140"/>
      <c r="AC20" s="140">
        <f>0.73/3.93*S23</f>
        <v>54568.705800254713</v>
      </c>
      <c r="AD20" s="140">
        <f>0.3/3.93*S23</f>
        <v>22425.495534351248</v>
      </c>
      <c r="AE20" s="141">
        <f>1.5/3.93*S23</f>
        <v>112127.47767175625</v>
      </c>
      <c r="AF20" s="90"/>
      <c r="AG20" s="28"/>
      <c r="AH20" s="28"/>
      <c r="AI20" s="28"/>
      <c r="AJ20" s="28"/>
      <c r="AK20" s="64"/>
      <c r="AL20" s="64"/>
      <c r="AM20" s="64"/>
      <c r="AN20" s="64"/>
      <c r="AO20" s="28"/>
      <c r="AP20" s="28"/>
      <c r="AQ20" s="28"/>
      <c r="AR20" s="28"/>
      <c r="AS20" s="64"/>
      <c r="AT20" s="64"/>
      <c r="AU20" s="64"/>
      <c r="AV20" s="28"/>
      <c r="AW20" s="28"/>
      <c r="AX20" s="28"/>
      <c r="AY20" s="28"/>
      <c r="AZ20" s="66"/>
      <c r="BA20" s="66"/>
      <c r="BB20" s="66"/>
      <c r="BC20" s="67"/>
      <c r="BD20" s="28"/>
      <c r="BE20" s="28"/>
      <c r="BF20" s="28"/>
      <c r="BG20" s="28"/>
      <c r="BJ20" s="64"/>
      <c r="BK20" s="64"/>
      <c r="BL20" s="64"/>
      <c r="BM20" s="196">
        <f>BJ8+BJ9+BJ10+BJ11+BJ12+BJ13+BJ14+BJ15+BJ16+BJ17</f>
        <v>2697</v>
      </c>
      <c r="BN20" s="67"/>
      <c r="BO20" s="28"/>
      <c r="BP20" s="63"/>
      <c r="BQ20" s="69"/>
      <c r="BR20" s="63"/>
      <c r="BS20" s="64"/>
      <c r="BT20" s="64"/>
      <c r="BU20" s="64"/>
      <c r="BV20" s="70"/>
      <c r="BW20" s="64"/>
      <c r="BX20" s="64"/>
      <c r="BY20" s="70"/>
      <c r="BZ20" s="28"/>
      <c r="CA20" s="63"/>
      <c r="CB20" s="69"/>
      <c r="CC20" s="28"/>
      <c r="CD20" s="28"/>
      <c r="CE20" s="65"/>
      <c r="CF20" s="65"/>
      <c r="CG20" s="65"/>
      <c r="CH20" s="65"/>
      <c r="CI20" s="68"/>
    </row>
    <row r="21" spans="1:107" x14ac:dyDescent="0.2"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94"/>
      <c r="T21" s="94"/>
      <c r="U21" s="94"/>
      <c r="V21" s="94"/>
      <c r="W21" s="94"/>
      <c r="X21" s="15"/>
      <c r="AG21" s="15"/>
      <c r="BR21" s="231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197"/>
    </row>
    <row r="22" spans="1:107" x14ac:dyDescent="0.2">
      <c r="R22" s="170" t="s">
        <v>41</v>
      </c>
      <c r="S22" s="171">
        <f>E19+N19+W19</f>
        <v>10792037.008499999</v>
      </c>
      <c r="T22" s="15"/>
      <c r="U22" s="15"/>
      <c r="V22" s="15"/>
      <c r="BR22" s="235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198"/>
    </row>
    <row r="23" spans="1:107" s="14" customFormat="1" ht="15.75" customHeight="1" x14ac:dyDescent="0.2">
      <c r="R23" s="172" t="s">
        <v>42</v>
      </c>
      <c r="S23" s="173">
        <f>D19+M19+V19-S22</f>
        <v>293773.9915000014</v>
      </c>
      <c r="T23" s="112"/>
      <c r="U23" s="112"/>
      <c r="V23" s="112"/>
      <c r="BR23" s="233"/>
      <c r="BS23" s="237"/>
      <c r="BT23" s="237"/>
      <c r="BU23" s="237"/>
      <c r="BV23" s="237"/>
      <c r="BW23" s="237"/>
      <c r="BX23" s="237"/>
      <c r="BY23" s="237"/>
      <c r="BZ23" s="237"/>
      <c r="CA23" s="237"/>
      <c r="CB23" s="237"/>
      <c r="CC23" s="199"/>
    </row>
    <row r="24" spans="1:107" s="14" customFormat="1" ht="15.75" customHeight="1" x14ac:dyDescent="0.2">
      <c r="R24" s="113"/>
      <c r="S24" s="114"/>
      <c r="T24" s="114"/>
      <c r="U24" s="114"/>
      <c r="V24" s="114"/>
      <c r="BR24" s="233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199"/>
    </row>
    <row r="25" spans="1:107" s="14" customFormat="1" ht="15.75" customHeight="1" x14ac:dyDescent="0.2">
      <c r="S25" s="112"/>
      <c r="T25" s="112"/>
      <c r="U25" s="112"/>
      <c r="V25" s="112"/>
      <c r="BR25" s="233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199"/>
    </row>
    <row r="26" spans="1:107" s="2" customFormat="1" ht="13.5" customHeight="1" x14ac:dyDescent="0.2"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00"/>
    </row>
    <row r="27" spans="1:107" s="3" customFormat="1" ht="14.25" customHeight="1" x14ac:dyDescent="0.2"/>
    <row r="28" spans="1:107" ht="15" customHeight="1" x14ac:dyDescent="0.2">
      <c r="BR28" s="92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</row>
    <row r="29" spans="1:107" ht="14.25" customHeight="1" x14ac:dyDescent="0.2">
      <c r="BR29" s="92"/>
      <c r="CC29" s="136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</row>
    <row r="30" spans="1:107" ht="12.75" customHeight="1" x14ac:dyDescent="0.2">
      <c r="A30" s="25"/>
      <c r="B30" s="71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72"/>
      <c r="P30" s="72"/>
      <c r="Q30" s="81"/>
      <c r="R30" s="82"/>
      <c r="S30" s="83"/>
      <c r="T30" s="83"/>
      <c r="U30" s="83"/>
      <c r="V30" s="83"/>
      <c r="W30" s="83"/>
      <c r="X30" s="73"/>
      <c r="Y30" s="73"/>
      <c r="Z30" s="73"/>
      <c r="AA30" s="73"/>
      <c r="AB30" s="73"/>
      <c r="AC30" s="73"/>
      <c r="AD30" s="73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84"/>
      <c r="BA30" s="84"/>
      <c r="BB30" s="85"/>
      <c r="BC30" s="86"/>
      <c r="BD30" s="87"/>
      <c r="BE30" s="73"/>
      <c r="BF30" s="88"/>
      <c r="BG30" s="89"/>
      <c r="BH30" s="1"/>
      <c r="BI30" s="1"/>
      <c r="BJ30" s="76"/>
      <c r="BK30" s="76"/>
      <c r="BL30" s="18"/>
      <c r="BM30" s="18"/>
      <c r="BN30" s="82"/>
      <c r="BO30" s="77"/>
      <c r="BP30" s="79"/>
      <c r="BQ30" s="90"/>
      <c r="BR30" s="63"/>
      <c r="BS30" s="91"/>
      <c r="BT30" s="91"/>
      <c r="BU30" s="91"/>
      <c r="BV30" s="70"/>
      <c r="BW30" s="91"/>
      <c r="BX30" s="91"/>
      <c r="BY30" s="70"/>
      <c r="BZ30" s="78"/>
      <c r="CA30" s="79"/>
      <c r="CB30" s="90"/>
      <c r="CC30" s="73"/>
      <c r="CD30" s="26"/>
      <c r="CE30" s="27"/>
      <c r="CF30" s="27"/>
      <c r="CG30" s="27"/>
      <c r="CH30" s="27"/>
      <c r="CI30" s="9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</row>
    <row r="31" spans="1:107" ht="15" customHeight="1" x14ac:dyDescent="0.2">
      <c r="A31" s="25"/>
      <c r="B31" s="71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72"/>
      <c r="P31" s="72"/>
      <c r="Q31" s="81"/>
      <c r="R31" s="82"/>
      <c r="S31" s="83"/>
      <c r="T31" s="83"/>
      <c r="U31" s="83"/>
      <c r="V31" s="83"/>
      <c r="W31" s="83"/>
      <c r="X31" s="73"/>
      <c r="Y31" s="73"/>
      <c r="Z31" s="73"/>
      <c r="AA31" s="73"/>
      <c r="AB31" s="73"/>
      <c r="AC31" s="73"/>
      <c r="AD31" s="73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84"/>
      <c r="BA31" s="84"/>
      <c r="BB31" s="85"/>
      <c r="BC31" s="86"/>
      <c r="BD31" s="87"/>
      <c r="BE31" s="73"/>
      <c r="BF31" s="88"/>
      <c r="BG31" s="89"/>
      <c r="BH31" s="1"/>
      <c r="BI31" s="1"/>
      <c r="BJ31" s="76"/>
      <c r="BK31" s="76"/>
      <c r="BL31" s="18"/>
      <c r="BM31" s="18"/>
      <c r="BN31" s="82"/>
      <c r="BO31" s="77"/>
      <c r="BP31" s="79"/>
      <c r="BQ31" s="90"/>
      <c r="BR31" s="63"/>
      <c r="BS31" s="91"/>
      <c r="BT31" s="91"/>
      <c r="BU31" s="91"/>
      <c r="BV31" s="70"/>
      <c r="BW31" s="91"/>
      <c r="BX31" s="91"/>
      <c r="BY31" s="70"/>
      <c r="BZ31" s="78"/>
      <c r="CA31" s="79"/>
      <c r="CB31" s="90"/>
      <c r="CC31" s="73"/>
      <c r="CD31" s="26"/>
      <c r="CE31" s="27"/>
      <c r="CF31" s="27"/>
      <c r="CG31" s="27"/>
      <c r="CH31" s="27"/>
      <c r="CI31" s="9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</row>
    <row r="32" spans="1:107" ht="14.25" customHeight="1" x14ac:dyDescent="0.2">
      <c r="A32" s="25"/>
      <c r="B32" s="71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72"/>
      <c r="P32" s="72"/>
      <c r="Q32" s="81"/>
      <c r="R32" s="82"/>
      <c r="S32" s="83"/>
      <c r="T32" s="83"/>
      <c r="U32" s="83"/>
      <c r="V32" s="83"/>
      <c r="W32" s="83"/>
      <c r="X32" s="73"/>
      <c r="Y32" s="73"/>
      <c r="Z32" s="73"/>
      <c r="AA32" s="73"/>
      <c r="AB32" s="73"/>
      <c r="AC32" s="73"/>
      <c r="AD32" s="73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84"/>
      <c r="BA32" s="84"/>
      <c r="BB32" s="85"/>
      <c r="BC32" s="86"/>
      <c r="BD32" s="87"/>
      <c r="BE32" s="73"/>
      <c r="BF32" s="88"/>
      <c r="BG32" s="89"/>
      <c r="BH32" s="1"/>
      <c r="BI32" s="1"/>
      <c r="BJ32" s="76"/>
      <c r="BK32" s="76"/>
      <c r="BL32" s="18"/>
      <c r="BM32" s="18"/>
      <c r="BN32" s="82"/>
      <c r="BO32" s="77"/>
      <c r="BP32" s="79"/>
      <c r="BQ32" s="90"/>
      <c r="BR32" s="63"/>
      <c r="BS32" s="91"/>
      <c r="BT32" s="91"/>
      <c r="BU32" s="91"/>
      <c r="BV32" s="70"/>
      <c r="BW32" s="91"/>
      <c r="BX32" s="91"/>
      <c r="BY32" s="70"/>
      <c r="BZ32" s="78"/>
      <c r="CA32" s="79"/>
      <c r="CB32" s="90"/>
      <c r="CC32" s="73"/>
      <c r="CD32" s="26"/>
      <c r="CE32" s="27"/>
      <c r="CF32" s="27"/>
      <c r="CG32" s="27"/>
      <c r="CH32" s="27"/>
      <c r="CI32" s="9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4" spans="1:87" s="14" customFormat="1" ht="14.25" customHeight="1" x14ac:dyDescent="0.2"/>
    <row r="35" spans="1:87" s="2" customFormat="1" ht="15.75" customHeight="1" x14ac:dyDescent="0.2"/>
    <row r="36" spans="1:87" s="26" customFormat="1" x14ac:dyDescent="0.2">
      <c r="A36" s="25"/>
      <c r="B36" s="18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102"/>
      <c r="P36" s="102"/>
      <c r="Q36" s="96"/>
      <c r="R36" s="86"/>
      <c r="S36" s="27"/>
      <c r="T36" s="27"/>
      <c r="U36" s="27"/>
      <c r="V36" s="27"/>
      <c r="W36" s="27"/>
      <c r="X36" s="101"/>
      <c r="Y36" s="97"/>
      <c r="Z36" s="97"/>
      <c r="AA36" s="97"/>
      <c r="AB36" s="97"/>
      <c r="AC36" s="97"/>
      <c r="AD36" s="97"/>
      <c r="AE36" s="88"/>
      <c r="AF36" s="88"/>
      <c r="AG36" s="88"/>
      <c r="AH36" s="88"/>
      <c r="AI36" s="88"/>
      <c r="AJ36" s="88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7"/>
      <c r="AW36" s="27"/>
      <c r="AX36" s="73"/>
      <c r="AY36" s="75"/>
      <c r="AZ36" s="81"/>
      <c r="BA36" s="81"/>
      <c r="BB36" s="85"/>
      <c r="BC36" s="98"/>
      <c r="BD36" s="74"/>
      <c r="BE36" s="73"/>
      <c r="BF36" s="88"/>
      <c r="BG36" s="89"/>
      <c r="BJ36" s="18"/>
      <c r="BK36" s="18"/>
      <c r="BL36" s="18"/>
      <c r="BM36" s="18"/>
      <c r="BN36" s="99"/>
      <c r="BO36" s="77"/>
      <c r="BP36" s="63"/>
      <c r="BQ36" s="69"/>
      <c r="BR36" s="63"/>
      <c r="BS36" s="91"/>
      <c r="BT36" s="91"/>
      <c r="BU36" s="91"/>
      <c r="BV36" s="70"/>
      <c r="BW36" s="91"/>
      <c r="BX36" s="91"/>
      <c r="BY36" s="70"/>
      <c r="BZ36" s="77"/>
      <c r="CA36" s="63"/>
      <c r="CB36" s="69"/>
      <c r="CC36" s="73"/>
      <c r="CD36" s="73"/>
      <c r="CE36" s="27"/>
      <c r="CF36" s="83"/>
      <c r="CG36" s="83"/>
      <c r="CH36" s="83"/>
      <c r="CI36" s="100"/>
    </row>
    <row r="37" spans="1:87" s="26" customFormat="1" x14ac:dyDescent="0.2">
      <c r="A37" s="25"/>
      <c r="B37" s="18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95"/>
      <c r="P37" s="95"/>
      <c r="Q37" s="96"/>
      <c r="R37" s="86"/>
      <c r="S37" s="27"/>
      <c r="T37" s="27"/>
      <c r="U37" s="27"/>
      <c r="V37" s="27"/>
      <c r="W37" s="27"/>
      <c r="X37" s="97"/>
      <c r="Y37" s="97"/>
      <c r="Z37" s="97"/>
      <c r="AA37" s="97"/>
      <c r="AB37" s="97"/>
      <c r="AC37" s="97"/>
      <c r="AD37" s="97"/>
      <c r="AE37" s="88"/>
      <c r="AF37" s="88"/>
      <c r="AG37" s="88"/>
      <c r="AH37" s="88"/>
      <c r="AI37" s="88"/>
      <c r="AJ37" s="88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7"/>
      <c r="AW37" s="27"/>
      <c r="AX37" s="73"/>
      <c r="AY37" s="75"/>
      <c r="AZ37" s="81"/>
      <c r="BA37" s="81"/>
      <c r="BB37" s="85"/>
      <c r="BC37" s="98"/>
      <c r="BD37" s="74"/>
      <c r="BE37" s="73"/>
      <c r="BF37" s="88"/>
      <c r="BG37" s="89"/>
      <c r="BJ37" s="18"/>
      <c r="BK37" s="18"/>
      <c r="BL37" s="18"/>
      <c r="BM37" s="18"/>
      <c r="BN37" s="99"/>
      <c r="BO37" s="77"/>
      <c r="BP37" s="63"/>
      <c r="BQ37" s="69"/>
      <c r="BR37" s="63"/>
      <c r="BS37" s="27"/>
      <c r="BT37" s="27"/>
      <c r="BU37" s="27"/>
      <c r="BV37" s="70"/>
      <c r="BW37" s="27"/>
      <c r="BX37" s="27"/>
      <c r="BY37" s="70"/>
      <c r="BZ37" s="77"/>
      <c r="CA37" s="63"/>
      <c r="CB37" s="69"/>
      <c r="CC37" s="73"/>
      <c r="CD37" s="73"/>
      <c r="CE37" s="27"/>
      <c r="CF37" s="83"/>
      <c r="CG37" s="83"/>
      <c r="CH37" s="83"/>
      <c r="CI37" s="100"/>
    </row>
    <row r="38" spans="1:87" s="26" customFormat="1" x14ac:dyDescent="0.2">
      <c r="A38" s="25"/>
      <c r="B38" s="18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95"/>
      <c r="P38" s="95"/>
      <c r="Q38" s="96"/>
      <c r="R38" s="86"/>
      <c r="S38" s="27"/>
      <c r="T38" s="27"/>
      <c r="U38" s="27"/>
      <c r="V38" s="27"/>
      <c r="W38" s="27"/>
      <c r="X38" s="97"/>
      <c r="Y38" s="97"/>
      <c r="Z38" s="97"/>
      <c r="AA38" s="97"/>
      <c r="AB38" s="97"/>
      <c r="AC38" s="97"/>
      <c r="AD38" s="97"/>
      <c r="AE38" s="88"/>
      <c r="AF38" s="88"/>
      <c r="AG38" s="88"/>
      <c r="AH38" s="88"/>
      <c r="AI38" s="88"/>
      <c r="AJ38" s="88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7"/>
      <c r="AW38" s="27"/>
      <c r="AX38" s="73"/>
      <c r="AY38" s="75"/>
      <c r="AZ38" s="81"/>
      <c r="BA38" s="81"/>
      <c r="BB38" s="85"/>
      <c r="BC38" s="98"/>
      <c r="BD38" s="74"/>
      <c r="BE38" s="73"/>
      <c r="BF38" s="88"/>
      <c r="BG38" s="89"/>
      <c r="BJ38" s="18"/>
      <c r="BK38" s="18"/>
      <c r="BL38" s="18"/>
      <c r="BM38" s="18"/>
      <c r="BN38" s="99"/>
      <c r="BO38" s="77"/>
      <c r="BP38" s="63"/>
      <c r="BQ38" s="69"/>
      <c r="BR38" s="63"/>
      <c r="BS38" s="27"/>
      <c r="BT38" s="27"/>
      <c r="BU38" s="27"/>
      <c r="BV38" s="70"/>
      <c r="BW38" s="27"/>
      <c r="BX38" s="27"/>
      <c r="BY38" s="70"/>
      <c r="BZ38" s="77"/>
      <c r="CA38" s="63"/>
      <c r="CB38" s="69"/>
      <c r="CC38" s="73"/>
      <c r="CD38" s="73"/>
      <c r="CE38" s="27"/>
      <c r="CF38" s="83"/>
      <c r="CG38" s="83"/>
      <c r="CH38" s="83"/>
      <c r="CI38" s="100"/>
    </row>
    <row r="39" spans="1:87" s="26" customFormat="1" x14ac:dyDescent="0.2">
      <c r="A39" s="25"/>
      <c r="B39" s="18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95"/>
      <c r="P39" s="95"/>
      <c r="Q39" s="96"/>
      <c r="R39" s="86"/>
      <c r="S39" s="27"/>
      <c r="T39" s="27"/>
      <c r="U39" s="27"/>
      <c r="V39" s="27"/>
      <c r="W39" s="27"/>
      <c r="X39" s="97"/>
      <c r="Y39" s="97"/>
      <c r="Z39" s="97"/>
      <c r="AA39" s="97"/>
      <c r="AB39" s="97"/>
      <c r="AC39" s="97"/>
      <c r="AD39" s="97"/>
      <c r="AE39" s="88"/>
      <c r="AF39" s="88"/>
      <c r="AG39" s="88"/>
      <c r="AH39" s="88"/>
      <c r="AI39" s="88"/>
      <c r="AJ39" s="88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7"/>
      <c r="AW39" s="27"/>
      <c r="AX39" s="73"/>
      <c r="AY39" s="75"/>
      <c r="AZ39" s="81"/>
      <c r="BA39" s="81"/>
      <c r="BB39" s="85"/>
      <c r="BC39" s="98"/>
      <c r="BD39" s="74"/>
      <c r="BE39" s="73"/>
      <c r="BF39" s="88"/>
      <c r="BG39" s="89"/>
      <c r="BJ39" s="18"/>
      <c r="BK39" s="18"/>
      <c r="BL39" s="18"/>
      <c r="BM39" s="18"/>
      <c r="BN39" s="99"/>
      <c r="BO39" s="77"/>
      <c r="BP39" s="63"/>
      <c r="BQ39" s="69"/>
      <c r="BR39" s="63"/>
      <c r="BS39" s="27"/>
      <c r="BT39" s="27"/>
      <c r="BU39" s="27"/>
      <c r="BV39" s="70"/>
      <c r="BW39" s="27"/>
      <c r="BX39" s="27"/>
      <c r="BY39" s="70"/>
      <c r="BZ39" s="77"/>
      <c r="CA39" s="63"/>
      <c r="CB39" s="69"/>
      <c r="CC39" s="73"/>
      <c r="CD39" s="73"/>
      <c r="CE39" s="27"/>
      <c r="CF39" s="83"/>
      <c r="CG39" s="83"/>
      <c r="CH39" s="83"/>
      <c r="CI39" s="100"/>
    </row>
    <row r="40" spans="1:87" s="26" customFormat="1" x14ac:dyDescent="0.2">
      <c r="A40" s="25"/>
      <c r="B40" s="18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95"/>
      <c r="P40" s="95"/>
      <c r="Q40" s="96"/>
      <c r="R40" s="86"/>
      <c r="S40" s="27"/>
      <c r="T40" s="27"/>
      <c r="U40" s="27"/>
      <c r="V40" s="27"/>
      <c r="W40" s="27"/>
      <c r="X40" s="97"/>
      <c r="Y40" s="97"/>
      <c r="Z40" s="97"/>
      <c r="AA40" s="97"/>
      <c r="AB40" s="97"/>
      <c r="AC40" s="97"/>
      <c r="AD40" s="97"/>
      <c r="AE40" s="88"/>
      <c r="AF40" s="88"/>
      <c r="AG40" s="88"/>
      <c r="AH40" s="88"/>
      <c r="AI40" s="88"/>
      <c r="AJ40" s="88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7"/>
      <c r="AW40" s="27"/>
      <c r="AX40" s="73"/>
      <c r="AY40" s="75"/>
      <c r="AZ40" s="81"/>
      <c r="BA40" s="81"/>
      <c r="BB40" s="85"/>
      <c r="BC40" s="98"/>
      <c r="BD40" s="74"/>
      <c r="BE40" s="103"/>
      <c r="BF40" s="88"/>
      <c r="BG40" s="89"/>
      <c r="BJ40" s="18"/>
      <c r="BK40" s="18"/>
      <c r="BL40" s="18"/>
      <c r="BM40" s="18"/>
      <c r="BN40" s="99"/>
      <c r="BO40" s="77"/>
      <c r="BP40" s="63"/>
      <c r="BQ40" s="69"/>
      <c r="BR40" s="63"/>
      <c r="BS40" s="27"/>
      <c r="BT40" s="27"/>
      <c r="BU40" s="27"/>
      <c r="BV40" s="70"/>
      <c r="BW40" s="27"/>
      <c r="BX40" s="27"/>
      <c r="BY40" s="70"/>
      <c r="BZ40" s="77"/>
      <c r="CA40" s="63"/>
      <c r="CB40" s="69"/>
      <c r="CC40" s="73"/>
      <c r="CD40" s="73"/>
      <c r="CE40" s="27"/>
      <c r="CF40" s="83"/>
      <c r="CG40" s="83"/>
      <c r="CH40" s="83"/>
      <c r="CI40" s="100"/>
    </row>
    <row r="41" spans="1:87" s="26" customFormat="1" x14ac:dyDescent="0.2">
      <c r="A41" s="222"/>
      <c r="B41" s="222"/>
      <c r="C41" s="222"/>
      <c r="D41" s="106"/>
      <c r="E41" s="107"/>
      <c r="F41" s="132"/>
      <c r="G41" s="106"/>
      <c r="H41" s="138"/>
      <c r="I41" s="132"/>
      <c r="J41" s="106"/>
      <c r="K41" s="132"/>
      <c r="L41" s="139"/>
      <c r="M41" s="132"/>
      <c r="N41" s="107"/>
      <c r="O41" s="61"/>
      <c r="P41" s="61"/>
      <c r="Q41" s="61"/>
      <c r="R41" s="62"/>
      <c r="S41" s="28"/>
      <c r="T41" s="28"/>
      <c r="U41" s="28"/>
      <c r="V41" s="28"/>
      <c r="W41" s="28"/>
      <c r="X41" s="63"/>
      <c r="Y41" s="63"/>
      <c r="Z41" s="63"/>
      <c r="AA41" s="63"/>
      <c r="AB41" s="63"/>
      <c r="AC41" s="63"/>
      <c r="AD41" s="63"/>
      <c r="AE41" s="28"/>
      <c r="AF41" s="28"/>
      <c r="AG41" s="28"/>
      <c r="AH41" s="28"/>
      <c r="AI41" s="28"/>
      <c r="AJ41" s="28"/>
      <c r="AK41" s="64"/>
      <c r="AL41" s="64"/>
      <c r="AM41" s="64"/>
      <c r="AN41" s="64"/>
      <c r="AO41" s="28"/>
      <c r="AP41" s="28"/>
      <c r="AQ41" s="28"/>
      <c r="AR41" s="28"/>
      <c r="AS41" s="64"/>
      <c r="AT41" s="64"/>
      <c r="AU41" s="64"/>
      <c r="AV41" s="28"/>
      <c r="AW41" s="28"/>
      <c r="AX41" s="28"/>
      <c r="AY41" s="28"/>
      <c r="AZ41" s="66"/>
      <c r="BA41" s="66"/>
      <c r="BB41" s="66"/>
      <c r="BC41" s="67"/>
      <c r="BD41" s="28"/>
      <c r="BE41" s="28"/>
      <c r="BF41" s="28"/>
      <c r="BG41" s="28"/>
      <c r="BH41" s="61"/>
      <c r="BI41" s="61"/>
      <c r="BJ41" s="64"/>
      <c r="BK41" s="64"/>
      <c r="BL41" s="64"/>
      <c r="BM41" s="64"/>
      <c r="BN41" s="67"/>
      <c r="BO41" s="28"/>
      <c r="BP41" s="63"/>
      <c r="BQ41" s="69"/>
      <c r="BR41" s="63"/>
      <c r="BS41" s="64"/>
      <c r="BT41" s="64"/>
      <c r="BU41" s="64"/>
      <c r="BV41" s="70"/>
      <c r="BW41" s="64"/>
      <c r="BX41" s="64"/>
      <c r="BY41" s="70"/>
      <c r="BZ41" s="28"/>
      <c r="CA41" s="63"/>
      <c r="CB41" s="69"/>
      <c r="CC41" s="28"/>
      <c r="CD41" s="28"/>
      <c r="CE41" s="28"/>
      <c r="CF41" s="28"/>
      <c r="CG41" s="28"/>
      <c r="CH41" s="28"/>
      <c r="CI41" s="64"/>
    </row>
  </sheetData>
  <sortState ref="A8:BD20">
    <sortCondition sortBy="cellColor" ref="B11" dxfId="0"/>
  </sortState>
  <mergeCells count="75">
    <mergeCell ref="CG5:CG6"/>
    <mergeCell ref="CH5:CH6"/>
    <mergeCell ref="BC5:BC6"/>
    <mergeCell ref="CD4:CD6"/>
    <mergeCell ref="BE5:BE6"/>
    <mergeCell ref="BG5:BG6"/>
    <mergeCell ref="BP5:BP6"/>
    <mergeCell ref="CE4:CE6"/>
    <mergeCell ref="CB5:CB6"/>
    <mergeCell ref="BI5:BI6"/>
    <mergeCell ref="BU5:BU6"/>
    <mergeCell ref="AZ4:BI4"/>
    <mergeCell ref="B1:AJ1"/>
    <mergeCell ref="AR5:AR6"/>
    <mergeCell ref="AE5:AE6"/>
    <mergeCell ref="AK4:AR4"/>
    <mergeCell ref="AQ5:AQ6"/>
    <mergeCell ref="AD5:AD6"/>
    <mergeCell ref="AF5:AF6"/>
    <mergeCell ref="AG5:AG6"/>
    <mergeCell ref="AH4:AH6"/>
    <mergeCell ref="AI4:AI6"/>
    <mergeCell ref="M5:M6"/>
    <mergeCell ref="O5:R5"/>
    <mergeCell ref="D5:D6"/>
    <mergeCell ref="D4:W4"/>
    <mergeCell ref="X4:AE4"/>
    <mergeCell ref="AJ4:AJ6"/>
    <mergeCell ref="CI4:CI6"/>
    <mergeCell ref="AS4:AY4"/>
    <mergeCell ref="AX5:AX6"/>
    <mergeCell ref="CF4:CF6"/>
    <mergeCell ref="BJ4:BR4"/>
    <mergeCell ref="BR5:BR6"/>
    <mergeCell ref="BZ5:BZ6"/>
    <mergeCell ref="CA5:CA6"/>
    <mergeCell ref="BX5:BX6"/>
    <mergeCell ref="BY5:BY6"/>
    <mergeCell ref="BF5:BF6"/>
    <mergeCell ref="BQ5:BQ6"/>
    <mergeCell ref="CC5:CC6"/>
    <mergeCell ref="BS4:CC4"/>
    <mergeCell ref="BT5:BT6"/>
    <mergeCell ref="CG4:CH4"/>
    <mergeCell ref="BR26:CB26"/>
    <mergeCell ref="BV5:BV6"/>
    <mergeCell ref="A4:A6"/>
    <mergeCell ref="AP5:AP6"/>
    <mergeCell ref="AK5:AN5"/>
    <mergeCell ref="B4:B6"/>
    <mergeCell ref="X5:X6"/>
    <mergeCell ref="C4:C6"/>
    <mergeCell ref="Z5:Z6"/>
    <mergeCell ref="AA5:AA6"/>
    <mergeCell ref="AB5:AB6"/>
    <mergeCell ref="AC5:AC6"/>
    <mergeCell ref="C21:R21"/>
    <mergeCell ref="T5:T6"/>
    <mergeCell ref="V5:V6"/>
    <mergeCell ref="F5:I5"/>
    <mergeCell ref="BR21:CB21"/>
    <mergeCell ref="BR24:CB24"/>
    <mergeCell ref="BR25:CB25"/>
    <mergeCell ref="BR22:CB22"/>
    <mergeCell ref="BR23:CB23"/>
    <mergeCell ref="U5:U6"/>
    <mergeCell ref="BJ5:BN5"/>
    <mergeCell ref="A41:C41"/>
    <mergeCell ref="AW5:AW6"/>
    <mergeCell ref="K5:K6"/>
    <mergeCell ref="Y5:Y6"/>
    <mergeCell ref="AS5:AU5"/>
    <mergeCell ref="AY5:AY6"/>
    <mergeCell ref="AZ5:BB5"/>
    <mergeCell ref="L5:L6"/>
  </mergeCells>
  <phoneticPr fontId="1" type="noConversion"/>
  <pageMargins left="0.15748031496062992" right="0.15748031496062992" top="0.15748031496062992" bottom="0.15748031496062992" header="0" footer="0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Несп.у-ща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mishkova</dc:creator>
  <cp:lastModifiedBy>budjet1</cp:lastModifiedBy>
  <cp:lastPrinted>2024-02-20T10:54:39Z</cp:lastPrinted>
  <dcterms:created xsi:type="dcterms:W3CDTF">2010-01-17T11:17:21Z</dcterms:created>
  <dcterms:modified xsi:type="dcterms:W3CDTF">2024-02-26T09:30:34Z</dcterms:modified>
</cp:coreProperties>
</file>