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/>
  </bookViews>
  <sheets>
    <sheet name="разходи 2026" sheetId="9" r:id="rId1"/>
  </sheets>
  <calcPr calcId="145621"/>
</workbook>
</file>

<file path=xl/calcChain.xml><?xml version="1.0" encoding="utf-8"?>
<calcChain xmlns="http://schemas.openxmlformats.org/spreadsheetml/2006/main">
  <c r="H31" i="9" l="1"/>
  <c r="H144" i="9" l="1"/>
  <c r="H92" i="9" l="1"/>
  <c r="H17" i="9" l="1"/>
  <c r="H22" i="9"/>
  <c r="H20" i="9"/>
  <c r="H151" i="9" l="1"/>
  <c r="H117" i="9"/>
  <c r="H115" i="9"/>
  <c r="H106" i="9"/>
  <c r="H97" i="9"/>
  <c r="H91" i="9"/>
  <c r="H82" i="9"/>
  <c r="H81" i="9"/>
  <c r="H83" i="9" l="1"/>
  <c r="H65" i="9"/>
  <c r="H60" i="9" l="1"/>
  <c r="H15" i="9"/>
  <c r="H59" i="9" l="1"/>
  <c r="H28" i="9" l="1"/>
  <c r="H26" i="9"/>
  <c r="H25" i="9"/>
  <c r="H24" i="9"/>
  <c r="H23" i="9"/>
  <c r="H19" i="9"/>
  <c r="H64" i="9" l="1"/>
  <c r="H63" i="9"/>
  <c r="H58" i="9"/>
  <c r="H57" i="9"/>
  <c r="H54" i="9"/>
  <c r="H52" i="9"/>
  <c r="H50" i="9"/>
  <c r="H48" i="9"/>
  <c r="H46" i="9"/>
  <c r="H44" i="9"/>
  <c r="H42" i="9"/>
  <c r="H40" i="9"/>
  <c r="H38" i="9"/>
  <c r="H36" i="9"/>
  <c r="H35" i="9"/>
  <c r="H34" i="9"/>
  <c r="H32" i="9"/>
  <c r="H30" i="9"/>
  <c r="H29" i="9"/>
  <c r="H13" i="9"/>
  <c r="H12" i="9"/>
  <c r="H11" i="9"/>
  <c r="H10" i="9"/>
  <c r="H8" i="9"/>
  <c r="H56" i="9" l="1"/>
  <c r="H62" i="9"/>
  <c r="H49" i="9"/>
  <c r="H9" i="9"/>
  <c r="H16" i="9"/>
  <c r="H27" i="9"/>
  <c r="H7" i="9"/>
  <c r="H66" i="9" l="1"/>
  <c r="H123" i="9" l="1"/>
  <c r="H89" i="9" l="1"/>
  <c r="H153" i="9"/>
  <c r="H149" i="9"/>
  <c r="H159" i="9"/>
  <c r="H141" i="9"/>
  <c r="H112" i="9"/>
  <c r="H96" i="9"/>
  <c r="H74" i="9"/>
  <c r="H156" i="9" l="1"/>
  <c r="H69" i="9"/>
  <c r="H145" i="9" s="1"/>
  <c r="H160" i="9" l="1"/>
  <c r="H158" i="9"/>
  <c r="E8" i="9" l="1"/>
  <c r="E7" i="9" s="1"/>
  <c r="F31" i="9"/>
  <c r="E36" i="9"/>
  <c r="E37" i="9"/>
  <c r="E38" i="9"/>
  <c r="D31" i="9"/>
  <c r="C31" i="9"/>
  <c r="E10" i="9"/>
  <c r="C156" i="9"/>
  <c r="D156" i="9"/>
  <c r="E150" i="9"/>
  <c r="F156" i="9"/>
  <c r="E20" i="9"/>
  <c r="E22" i="9"/>
  <c r="E23" i="9"/>
  <c r="E11" i="9"/>
  <c r="E9" i="9" s="1"/>
  <c r="E17" i="9"/>
  <c r="E19" i="9"/>
  <c r="E24" i="9"/>
  <c r="E26" i="9"/>
  <c r="E28" i="9"/>
  <c r="E29" i="9"/>
  <c r="E40" i="9"/>
  <c r="E59" i="9"/>
  <c r="E60" i="9"/>
  <c r="G16" i="9"/>
  <c r="G66" i="9" s="1"/>
  <c r="F7" i="9"/>
  <c r="F9" i="9"/>
  <c r="F16" i="9"/>
  <c r="F27" i="9"/>
  <c r="F56" i="9"/>
  <c r="D74" i="9"/>
  <c r="C74" i="9"/>
  <c r="D69" i="9"/>
  <c r="D83" i="9"/>
  <c r="D89" i="9"/>
  <c r="D92" i="9"/>
  <c r="D96" i="9"/>
  <c r="D112" i="9"/>
  <c r="D123" i="9"/>
  <c r="C123" i="9"/>
  <c r="C69" i="9"/>
  <c r="C83" i="9"/>
  <c r="C89" i="9"/>
  <c r="C92" i="9"/>
  <c r="C96" i="9"/>
  <c r="C112" i="9"/>
  <c r="E79" i="9"/>
  <c r="E74" i="9" s="1"/>
  <c r="D7" i="9"/>
  <c r="C7" i="9"/>
  <c r="D9" i="9"/>
  <c r="D16" i="9"/>
  <c r="D27" i="9"/>
  <c r="D56" i="9"/>
  <c r="C9" i="9"/>
  <c r="C16" i="9"/>
  <c r="C27" i="9"/>
  <c r="C56" i="9"/>
  <c r="E83" i="9"/>
  <c r="E92" i="9"/>
  <c r="E96" i="9"/>
  <c r="E112" i="9"/>
  <c r="E123" i="9"/>
  <c r="F74" i="9"/>
  <c r="F83" i="9"/>
  <c r="F92" i="9"/>
  <c r="F96" i="9"/>
  <c r="F112" i="9"/>
  <c r="F123" i="9"/>
  <c r="E69" i="9"/>
  <c r="F69" i="9"/>
  <c r="E27" i="9" l="1"/>
  <c r="E16" i="9"/>
  <c r="E56" i="9"/>
  <c r="C66" i="9"/>
  <c r="F145" i="9"/>
  <c r="F158" i="9" s="1"/>
  <c r="D66" i="9"/>
  <c r="E156" i="9"/>
  <c r="E145" i="9"/>
  <c r="C145" i="9"/>
  <c r="C158" i="9" s="1"/>
  <c r="D145" i="9"/>
  <c r="D158" i="9" s="1"/>
  <c r="E31" i="9"/>
  <c r="F66" i="9"/>
  <c r="E158" i="9" l="1"/>
  <c r="E66" i="9"/>
  <c r="E161" i="9" s="1"/>
  <c r="F161" i="9"/>
  <c r="C161" i="9"/>
  <c r="D161" i="9"/>
</calcChain>
</file>

<file path=xl/sharedStrings.xml><?xml version="1.0" encoding="utf-8"?>
<sst xmlns="http://schemas.openxmlformats.org/spreadsheetml/2006/main" count="165" uniqueCount="107">
  <si>
    <t>д.866 Общински пазар и тържища</t>
  </si>
  <si>
    <t>д.603 Водоснабдяване и канализация</t>
  </si>
  <si>
    <t>д.745 Обредни домове и зали</t>
  </si>
  <si>
    <t>д.752 Градски библиотеки</t>
  </si>
  <si>
    <t xml:space="preserve">                  ДОФИНАНСИРАНЕ</t>
  </si>
  <si>
    <t xml:space="preserve">РАЗХОДИ </t>
  </si>
  <si>
    <t>ДОФИНАНСИРАНЕ</t>
  </si>
  <si>
    <t>ДЪРЖАВНИ ДЕЙНОСТИ</t>
  </si>
  <si>
    <t>ФУНКЦИЯ 1</t>
  </si>
  <si>
    <t>ФУНКЦИЯ 2</t>
  </si>
  <si>
    <t>ФУНКЦИЯ 3</t>
  </si>
  <si>
    <t>д.324 Спортни училища</t>
  </si>
  <si>
    <t>д.332 Общежития</t>
  </si>
  <si>
    <t>ФУНКЦИЯ 4</t>
  </si>
  <si>
    <t>ФУНКЦИЯ 5</t>
  </si>
  <si>
    <t>д.532 Програми за временна заетост</t>
  </si>
  <si>
    <t>д.540 Домове за стари хора-Ковачевци</t>
  </si>
  <si>
    <t>ФУНКЦИЯ 7</t>
  </si>
  <si>
    <t>д.738 Читалища</t>
  </si>
  <si>
    <t>ФУНКЦИЯ 8</t>
  </si>
  <si>
    <t>ВСИЧКО РАЗХОДИ В ДЪРЖАВНИ ДЕЙНОСТИ</t>
  </si>
  <si>
    <t>МЕСТНИ ДЕЙНОСТИ</t>
  </si>
  <si>
    <t>ВСИЧКО РАЗХОДИ В МЕСТНИ ДЕЙНОСТИ</t>
  </si>
  <si>
    <t>ВСИЧКО РАЗХОДИ В ДОФИНАНСИРАНЕ</t>
  </si>
  <si>
    <t>ФУНКЦИЯ 6</t>
  </si>
  <si>
    <t>д.123 Общински съвети</t>
  </si>
  <si>
    <t>д.524 Домашен социален патронаж</t>
  </si>
  <si>
    <t>д.878 Приют за безстопанствени животни</t>
  </si>
  <si>
    <t>От собствени приходи</t>
  </si>
  <si>
    <t>План 2011 г.</t>
  </si>
  <si>
    <t>Отчет към 31.12.2011 г.</t>
  </si>
  <si>
    <t>Преходен остатък от 2011 г.</t>
  </si>
  <si>
    <t xml:space="preserve"> Бюджет 2012 г. по ЕРС</t>
  </si>
  <si>
    <t>д.239 Други дейности по вътрешната сигурност</t>
  </si>
  <si>
    <t>д.469 Други дейности по здравеопазването</t>
  </si>
  <si>
    <t xml:space="preserve">д.318 Подготвителна група в училище                                </t>
  </si>
  <si>
    <t>ФУНКЦИЯ 9</t>
  </si>
  <si>
    <t>д.910 Разходи за лихви</t>
  </si>
  <si>
    <t>д.998 Резерв</t>
  </si>
  <si>
    <t>д.412 Многопрофилни болници за активно лечение</t>
  </si>
  <si>
    <t>д.713 Спорт за всички</t>
  </si>
  <si>
    <t xml:space="preserve">в т.ч.Капиталови разходи </t>
  </si>
  <si>
    <t xml:space="preserve">ТЕКУЩИ РАЗХОДИ </t>
  </si>
  <si>
    <t xml:space="preserve">КАПИТАЛОВИ РАЗХОДИ </t>
  </si>
  <si>
    <t xml:space="preserve"> в т.ч.Капиталови разходи</t>
  </si>
  <si>
    <t>д.311 Детски градини</t>
  </si>
  <si>
    <t>д.540 Домове за стари хора-Самоков</t>
  </si>
  <si>
    <t>д.525 Клубове на пенсионера, инвалида и др.</t>
  </si>
  <si>
    <t>д.338 Ресурсно подпомагане</t>
  </si>
  <si>
    <t>д.562</t>
  </si>
  <si>
    <t>д.589 Други служби и дейности по соц.осигуряване</t>
  </si>
  <si>
    <t xml:space="preserve">д. 740 </t>
  </si>
  <si>
    <t>д.551 Дневни центрове за лица с увреждания</t>
  </si>
  <si>
    <t>д.622 Озеленяване</t>
  </si>
  <si>
    <t>ВСИЧКО РАЗХОДИ ЗА 2022г.</t>
  </si>
  <si>
    <t>д.561 Асистентска подкрепа</t>
  </si>
  <si>
    <t>д.562 Асистенти  за лична помощ</t>
  </si>
  <si>
    <t>в т.ч.Капиталови разходи</t>
  </si>
  <si>
    <t>д.732 Културни дейности</t>
  </si>
  <si>
    <t>в т.ч. Капиталови разходи</t>
  </si>
  <si>
    <t>д.285 Доброволни формирования за защита при бедствия</t>
  </si>
  <si>
    <t>д.526 Центрове за обществена подкрепа</t>
  </si>
  <si>
    <t xml:space="preserve">д.603 Водоснабдяване и канализация </t>
  </si>
  <si>
    <t xml:space="preserve">д.604 Осветление на улици и площади </t>
  </si>
  <si>
    <t>д.898 Други дейности по икономиката</t>
  </si>
  <si>
    <t>д.117 Държавни и общински служби и дейности по изборите</t>
  </si>
  <si>
    <t>д.285 Доброволни формирования</t>
  </si>
  <si>
    <t>д.826 Рибарство</t>
  </si>
  <si>
    <t xml:space="preserve">ВСИЧКО РАЗХОДИ </t>
  </si>
  <si>
    <t>КАПИТАЛОВИ РАЗХОДИ ЗА 2025 ГОДИНА Д.Д.</t>
  </si>
  <si>
    <t>КАПИТАЛОВИ РАЗХОДИ ЗА 2025 ГОДИНА - М.Д.</t>
  </si>
  <si>
    <t xml:space="preserve">д.122 Общинска администрация </t>
  </si>
  <si>
    <t>Бюджет 2026 г.</t>
  </si>
  <si>
    <t>д.827 Развитие на селските райони</t>
  </si>
  <si>
    <t>Бюджет 2026 г. - Разход</t>
  </si>
  <si>
    <t xml:space="preserve">д.623 Чистота </t>
  </si>
  <si>
    <t>д.282 Отбранително-мобилизационна подготовка, поддържане на запаси</t>
  </si>
  <si>
    <t>д.283 Превантивна дейност за намаляване на вредните последствия от бедствия и аварии</t>
  </si>
  <si>
    <t>д.284 Ликвидиране на последици от стихийни бедствия и производствени аварии</t>
  </si>
  <si>
    <t xml:space="preserve">д.322 Неспециализирани училища, без професионални гимназии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</si>
  <si>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д.326 Професионални гимназии и паралелки за професионална подготовка</t>
  </si>
  <si>
    <t>д.389 Други дейности по образованието</t>
  </si>
  <si>
    <t>д.431 Детски ясли, детски кухни и яслени групи в детска градина</t>
  </si>
  <si>
    <t xml:space="preserve">д.437 Здравен кабинет в детски градини и училища </t>
  </si>
  <si>
    <t>д.530 Център за настаняване от семеен тип</t>
  </si>
  <si>
    <t>д.550 Център за социална рехабилитация и интеграция</t>
  </si>
  <si>
    <t>д.589 Други служби и дейности по социалното осигуряване, подпомагане и заетостта</t>
  </si>
  <si>
    <t>д.619 Други дейности по жилищното строителство,благоустройство и регионално развитие</t>
  </si>
  <si>
    <t>д.714 Спортни бази за спорта за всички</t>
  </si>
  <si>
    <t>д.849 Др.дейности по транспорта, пътищата, пощите и далекосъобщенията</t>
  </si>
  <si>
    <t>д.289 Други дейности за защита на населението при стихийни бедствия и аварии</t>
  </si>
  <si>
    <t xml:space="preserve">д.322 Неспециализирани училища, без професионални гимназии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</si>
  <si>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д.601 Управление, контрол и регулиране на дейности по жилищно строителство </t>
  </si>
  <si>
    <t xml:space="preserve">д.606 Изграждане, ремонт и поддържане на уличната мрежа </t>
  </si>
  <si>
    <t>д.621 Управление, контрол и реулиране на дейностите по управление на околната среда</t>
  </si>
  <si>
    <t>д.627 Управление на дейностите по отпадъците</t>
  </si>
  <si>
    <t>д.714 Спортни бази за спорт за всички</t>
  </si>
  <si>
    <t>д.739 Музеи, худ. галерии, паметници на културата с национален и  регионален характер</t>
  </si>
  <si>
    <t>д 740 Музеи, худ. галерии, паметници на културата с местен характер</t>
  </si>
  <si>
    <t xml:space="preserve">д.759 Други дейности по културата </t>
  </si>
  <si>
    <t>д.829 Други дейности по селско и горско стопанство, лов и риболов</t>
  </si>
  <si>
    <t>д.831 Управление,контрол и реулиране на дейностите по транспорта и пътищата</t>
  </si>
  <si>
    <t>д.832 Служби и дейности по поддържане, ремонт и изграждане на пътищата</t>
  </si>
  <si>
    <t>д.849 Други дейности по транспорта, пътищата, пощите и далекосъобщенията</t>
  </si>
  <si>
    <t>Д.865 Други дейности по туризма</t>
  </si>
  <si>
    <t>д.871 Помощни стопанства, столове и други спомагателни дейности</t>
  </si>
  <si>
    <t>д.322 Неспециализирани училища, без професионални гимназии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</si>
</sst>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_ ;\-#,##0\ "/>
  </numFmts>
  <fonts count="8" x14ac:knownFonts="1">
    <font>
      <sz val="10"/>
      <name val="Arial"/>
    </font>
    <font>
      <sz val="8"/>
      <name val="Arial"/>
      <family val="2"/>
      <charset val="204"/>
    </font>
    <font>
      <sz val="13"/>
      <name val="Courier New"/>
      <family val="3"/>
      <charset val="204"/>
    </font>
    <font>
      <b/>
      <sz val="13"/>
      <name val="Courier New"/>
      <family val="3"/>
      <charset val="204"/>
    </font>
    <font>
      <i/>
      <sz val="13"/>
      <name val="Courier New"/>
      <family val="3"/>
      <charset val="204"/>
    </font>
    <font>
      <b/>
      <i/>
      <sz val="13"/>
      <name val="Courier New"/>
      <family val="3"/>
      <charset val="204"/>
    </font>
    <font>
      <b/>
      <sz val="14"/>
      <name val="Courier New"/>
      <family val="3"/>
      <charset val="204"/>
    </font>
    <font>
      <b/>
      <sz val="16"/>
      <name val="Courier New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6969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09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2" fillId="2" borderId="0" xfId="0" applyNumberFormat="1" applyFont="1" applyFill="1" applyBorder="1" applyAlignment="1" applyProtection="1">
      <alignment vertical="top"/>
    </xf>
    <xf numFmtId="0" fontId="3" fillId="8" borderId="1" xfId="0" applyNumberFormat="1" applyFont="1" applyFill="1" applyBorder="1" applyAlignment="1" applyProtection="1">
      <alignment vertical="center"/>
    </xf>
    <xf numFmtId="164" fontId="3" fillId="8" borderId="1" xfId="0" applyNumberFormat="1" applyFont="1" applyFill="1" applyBorder="1" applyAlignment="1" applyProtection="1">
      <alignment vertical="top"/>
    </xf>
    <xf numFmtId="165" fontId="3" fillId="8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vertical="center"/>
    </xf>
    <xf numFmtId="164" fontId="2" fillId="2" borderId="1" xfId="0" applyNumberFormat="1" applyFont="1" applyFill="1" applyBorder="1" applyAlignment="1" applyProtection="1">
      <alignment horizontal="right" vertical="center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165" fontId="2" fillId="2" borderId="1" xfId="0" applyNumberFormat="1" applyFont="1" applyFill="1" applyBorder="1" applyAlignment="1" applyProtection="1">
      <alignment vertical="center"/>
    </xf>
    <xf numFmtId="165" fontId="3" fillId="8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3" fillId="2" borderId="1" xfId="0" applyNumberFormat="1" applyFont="1" applyFill="1" applyBorder="1" applyAlignment="1" applyProtection="1">
      <alignment horizontal="right" vertical="center"/>
    </xf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vertical="top"/>
    </xf>
    <xf numFmtId="165" fontId="4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top"/>
    </xf>
    <xf numFmtId="0" fontId="3" fillId="2" borderId="1" xfId="0" applyNumberFormat="1" applyFont="1" applyFill="1" applyBorder="1" applyAlignment="1" applyProtection="1">
      <alignment vertical="center" wrapText="1"/>
    </xf>
    <xf numFmtId="49" fontId="3" fillId="2" borderId="1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top"/>
    </xf>
    <xf numFmtId="164" fontId="3" fillId="3" borderId="1" xfId="0" applyNumberFormat="1" applyFont="1" applyFill="1" applyBorder="1" applyAlignment="1" applyProtection="1">
      <alignment vertical="top"/>
    </xf>
    <xf numFmtId="165" fontId="3" fillId="14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164" fontId="3" fillId="0" borderId="1" xfId="0" applyNumberFormat="1" applyFont="1" applyFill="1" applyBorder="1" applyAlignment="1" applyProtection="1">
      <alignment vertical="top"/>
    </xf>
    <xf numFmtId="0" fontId="4" fillId="2" borderId="1" xfId="0" applyNumberFormat="1" applyFont="1" applyFill="1" applyBorder="1" applyAlignment="1" applyProtection="1">
      <alignment vertical="center"/>
    </xf>
    <xf numFmtId="165" fontId="4" fillId="2" borderId="1" xfId="0" applyNumberFormat="1" applyFont="1" applyFill="1" applyBorder="1" applyAlignment="1" applyProtection="1">
      <alignment vertical="center"/>
    </xf>
    <xf numFmtId="49" fontId="3" fillId="2" borderId="1" xfId="0" applyNumberFormat="1" applyFont="1" applyFill="1" applyBorder="1" applyAlignment="1" applyProtection="1">
      <alignment vertical="center"/>
    </xf>
    <xf numFmtId="0" fontId="3" fillId="10" borderId="1" xfId="0" applyNumberFormat="1" applyFont="1" applyFill="1" applyBorder="1" applyAlignment="1" applyProtection="1">
      <alignment vertical="top"/>
    </xf>
    <xf numFmtId="0" fontId="5" fillId="8" borderId="1" xfId="0" applyNumberFormat="1" applyFont="1" applyFill="1" applyBorder="1" applyAlignment="1" applyProtection="1">
      <alignment vertical="top"/>
    </xf>
    <xf numFmtId="164" fontId="4" fillId="8" borderId="1" xfId="0" applyNumberFormat="1" applyFont="1" applyFill="1" applyBorder="1" applyAlignment="1" applyProtection="1">
      <alignment horizontal="right" vertical="center"/>
    </xf>
    <xf numFmtId="164" fontId="4" fillId="8" borderId="1" xfId="0" applyNumberFormat="1" applyFont="1" applyFill="1" applyBorder="1" applyAlignment="1" applyProtection="1">
      <alignment horizontal="right" vertical="center" wrapText="1"/>
    </xf>
    <xf numFmtId="165" fontId="5" fillId="14" borderId="1" xfId="0" applyNumberFormat="1" applyFont="1" applyFill="1" applyBorder="1" applyAlignment="1" applyProtection="1">
      <alignment vertical="center"/>
    </xf>
    <xf numFmtId="0" fontId="3" fillId="4" borderId="1" xfId="0" applyNumberFormat="1" applyFont="1" applyFill="1" applyBorder="1" applyAlignment="1" applyProtection="1">
      <alignment vertical="center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165" fontId="3" fillId="13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vertical="top"/>
    </xf>
    <xf numFmtId="3" fontId="3" fillId="8" borderId="1" xfId="0" applyNumberFormat="1" applyFont="1" applyFill="1" applyBorder="1" applyAlignment="1" applyProtection="1">
      <alignment vertical="top"/>
    </xf>
    <xf numFmtId="3" fontId="3" fillId="0" borderId="1" xfId="0" applyNumberFormat="1" applyFont="1" applyFill="1" applyBorder="1" applyAlignment="1" applyProtection="1">
      <alignment vertical="top"/>
    </xf>
    <xf numFmtId="3" fontId="2" fillId="0" borderId="1" xfId="0" applyNumberFormat="1" applyFont="1" applyFill="1" applyBorder="1" applyAlignment="1" applyProtection="1">
      <alignment vertical="top"/>
    </xf>
    <xf numFmtId="164" fontId="2" fillId="0" borderId="1" xfId="0" applyNumberFormat="1" applyFont="1" applyFill="1" applyBorder="1" applyAlignment="1" applyProtection="1">
      <alignment horizontal="right" vertical="top"/>
    </xf>
    <xf numFmtId="164" fontId="2" fillId="2" borderId="1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3" fontId="4" fillId="0" borderId="1" xfId="0" applyNumberFormat="1" applyFont="1" applyFill="1" applyBorder="1" applyAlignment="1" applyProtection="1">
      <alignment vertical="top"/>
    </xf>
    <xf numFmtId="0" fontId="3" fillId="8" borderId="5" xfId="0" applyNumberFormat="1" applyFont="1" applyFill="1" applyBorder="1" applyAlignment="1" applyProtection="1">
      <alignment vertical="top"/>
    </xf>
    <xf numFmtId="3" fontId="3" fillId="8" borderId="5" xfId="0" applyNumberFormat="1" applyFont="1" applyFill="1" applyBorder="1" applyAlignment="1" applyProtection="1">
      <alignment vertical="top"/>
    </xf>
    <xf numFmtId="0" fontId="3" fillId="2" borderId="1" xfId="0" applyNumberFormat="1" applyFont="1" applyFill="1" applyBorder="1" applyAlignment="1" applyProtection="1">
      <alignment vertical="top"/>
    </xf>
    <xf numFmtId="3" fontId="2" fillId="2" borderId="1" xfId="0" applyNumberFormat="1" applyFont="1" applyFill="1" applyBorder="1" applyAlignment="1" applyProtection="1">
      <alignment vertical="top"/>
    </xf>
    <xf numFmtId="3" fontId="3" fillId="2" borderId="1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 wrapText="1"/>
    </xf>
    <xf numFmtId="0" fontId="3" fillId="8" borderId="1" xfId="0" applyNumberFormat="1" applyFont="1" applyFill="1" applyBorder="1" applyAlignment="1" applyProtection="1">
      <alignment vertical="top"/>
    </xf>
    <xf numFmtId="164" fontId="3" fillId="8" borderId="1" xfId="0" applyNumberFormat="1" applyFont="1" applyFill="1" applyBorder="1" applyAlignment="1" applyProtection="1">
      <alignment horizontal="right" vertical="top"/>
    </xf>
    <xf numFmtId="164" fontId="2" fillId="8" borderId="1" xfId="0" applyNumberFormat="1" applyFont="1" applyFill="1" applyBorder="1" applyAlignment="1" applyProtection="1">
      <alignment horizontal="right" vertical="top"/>
    </xf>
    <xf numFmtId="164" fontId="3" fillId="3" borderId="1" xfId="0" applyNumberFormat="1" applyFont="1" applyFill="1" applyBorder="1" applyAlignment="1" applyProtection="1">
      <alignment horizontal="right" vertical="top"/>
    </xf>
    <xf numFmtId="164" fontId="2" fillId="3" borderId="1" xfId="0" applyNumberFormat="1" applyFont="1" applyFill="1" applyBorder="1" applyAlignment="1" applyProtection="1">
      <alignment horizontal="right" vertical="top"/>
    </xf>
    <xf numFmtId="3" fontId="2" fillId="2" borderId="1" xfId="0" applyNumberFormat="1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vertical="center"/>
    </xf>
    <xf numFmtId="3" fontId="2" fillId="9" borderId="1" xfId="0" applyNumberFormat="1" applyFont="1" applyFill="1" applyBorder="1" applyAlignment="1" applyProtection="1">
      <alignment vertical="center"/>
    </xf>
    <xf numFmtId="3" fontId="4" fillId="0" borderId="1" xfId="0" applyNumberFormat="1" applyFont="1" applyFill="1" applyBorder="1" applyAlignment="1" applyProtection="1">
      <alignment vertical="center"/>
    </xf>
    <xf numFmtId="164" fontId="4" fillId="8" borderId="1" xfId="0" applyNumberFormat="1" applyFont="1" applyFill="1" applyBorder="1" applyAlignment="1" applyProtection="1">
      <alignment horizontal="right" vertical="top"/>
    </xf>
    <xf numFmtId="3" fontId="5" fillId="8" borderId="1" xfId="0" applyNumberFormat="1" applyFont="1" applyFill="1" applyBorder="1" applyAlignment="1" applyProtection="1">
      <alignment vertical="top"/>
    </xf>
    <xf numFmtId="0" fontId="3" fillId="13" borderId="1" xfId="0" applyNumberFormat="1" applyFont="1" applyFill="1" applyBorder="1" applyAlignment="1" applyProtection="1">
      <alignment vertical="top"/>
    </xf>
    <xf numFmtId="164" fontId="2" fillId="13" borderId="1" xfId="0" applyNumberFormat="1" applyFont="1" applyFill="1" applyBorder="1" applyAlignment="1" applyProtection="1">
      <alignment horizontal="right" vertical="top"/>
    </xf>
    <xf numFmtId="3" fontId="3" fillId="13" borderId="1" xfId="0" applyNumberFormat="1" applyFont="1" applyFill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horizontal="right" vertical="top"/>
    </xf>
    <xf numFmtId="3" fontId="3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vertical="top"/>
    </xf>
    <xf numFmtId="3" fontId="3" fillId="8" borderId="1" xfId="0" applyNumberFormat="1" applyFont="1" applyFill="1" applyBorder="1" applyAlignment="1" applyProtection="1">
      <alignment horizontal="right" vertical="top"/>
    </xf>
    <xf numFmtId="3" fontId="2" fillId="0" borderId="1" xfId="0" applyNumberFormat="1" applyFont="1" applyFill="1" applyBorder="1" applyAlignment="1" applyProtection="1">
      <alignment horizontal="right" vertical="top"/>
    </xf>
    <xf numFmtId="3" fontId="3" fillId="10" borderId="1" xfId="0" applyNumberFormat="1" applyFont="1" applyFill="1" applyBorder="1" applyAlignment="1" applyProtection="1">
      <alignment vertical="top"/>
    </xf>
    <xf numFmtId="164" fontId="2" fillId="8" borderId="1" xfId="0" applyNumberFormat="1" applyFont="1" applyFill="1" applyBorder="1" applyAlignment="1" applyProtection="1">
      <alignment horizontal="center" vertical="top"/>
    </xf>
    <xf numFmtId="164" fontId="2" fillId="3" borderId="1" xfId="0" applyNumberFormat="1" applyFont="1" applyFill="1" applyBorder="1" applyAlignment="1" applyProtection="1">
      <alignment horizontal="center" vertical="top"/>
    </xf>
    <xf numFmtId="3" fontId="2" fillId="2" borderId="1" xfId="0" applyNumberFormat="1" applyFont="1" applyFill="1" applyBorder="1" applyAlignment="1" applyProtection="1">
      <alignment horizontal="right" vertical="center"/>
    </xf>
    <xf numFmtId="164" fontId="2" fillId="4" borderId="1" xfId="0" applyNumberFormat="1" applyFont="1" applyFill="1" applyBorder="1" applyAlignment="1" applyProtection="1">
      <alignment horizontal="right" vertical="top"/>
    </xf>
    <xf numFmtId="3" fontId="3" fillId="4" borderId="1" xfId="0" applyNumberFormat="1" applyFont="1" applyFill="1" applyBorder="1" applyAlignment="1" applyProtection="1">
      <alignment vertical="top"/>
    </xf>
    <xf numFmtId="164" fontId="2" fillId="2" borderId="0" xfId="0" applyNumberFormat="1" applyFont="1" applyFill="1" applyBorder="1" applyAlignment="1" applyProtection="1">
      <alignment horizontal="right" vertical="top"/>
    </xf>
    <xf numFmtId="0" fontId="3" fillId="5" borderId="1" xfId="0" applyNumberFormat="1" applyFont="1" applyFill="1" applyBorder="1" applyAlignment="1" applyProtection="1">
      <alignment vertical="top"/>
    </xf>
    <xf numFmtId="164" fontId="2" fillId="5" borderId="1" xfId="0" applyNumberFormat="1" applyFont="1" applyFill="1" applyBorder="1" applyAlignment="1" applyProtection="1">
      <alignment horizontal="right" vertical="top"/>
    </xf>
    <xf numFmtId="3" fontId="3" fillId="5" borderId="1" xfId="0" applyNumberFormat="1" applyFont="1" applyFill="1" applyBorder="1" applyAlignment="1" applyProtection="1">
      <alignment vertical="top"/>
    </xf>
    <xf numFmtId="0" fontId="3" fillId="7" borderId="1" xfId="0" applyNumberFormat="1" applyFont="1" applyFill="1" applyBorder="1" applyAlignment="1" applyProtection="1">
      <alignment vertical="top"/>
    </xf>
    <xf numFmtId="3" fontId="2" fillId="7" borderId="1" xfId="0" applyNumberFormat="1" applyFont="1" applyFill="1" applyBorder="1" applyAlignment="1" applyProtection="1">
      <alignment vertical="top"/>
    </xf>
    <xf numFmtId="0" fontId="3" fillId="11" borderId="4" xfId="0" applyNumberFormat="1" applyFont="1" applyFill="1" applyBorder="1" applyAlignment="1" applyProtection="1">
      <alignment vertical="top"/>
    </xf>
    <xf numFmtId="164" fontId="2" fillId="11" borderId="4" xfId="0" applyNumberFormat="1" applyFont="1" applyFill="1" applyBorder="1" applyAlignment="1" applyProtection="1">
      <alignment horizontal="right" vertical="top"/>
    </xf>
    <xf numFmtId="3" fontId="3" fillId="11" borderId="1" xfId="0" applyNumberFormat="1" applyFont="1" applyFill="1" applyBorder="1" applyAlignment="1" applyProtection="1">
      <alignment vertical="top"/>
    </xf>
    <xf numFmtId="0" fontId="3" fillId="6" borderId="1" xfId="0" applyNumberFormat="1" applyFont="1" applyFill="1" applyBorder="1" applyAlignment="1" applyProtection="1">
      <alignment vertical="top"/>
    </xf>
    <xf numFmtId="164" fontId="3" fillId="6" borderId="1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3" fontId="5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left" vertical="center"/>
    </xf>
    <xf numFmtId="0" fontId="6" fillId="12" borderId="1" xfId="0" applyNumberFormat="1" applyFont="1" applyFill="1" applyBorder="1" applyAlignment="1" applyProtection="1">
      <alignment horizontal="center" vertical="center"/>
    </xf>
    <xf numFmtId="0" fontId="6" fillId="12" borderId="1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/>
    </xf>
    <xf numFmtId="0" fontId="6" fillId="4" borderId="4" xfId="0" applyNumberFormat="1" applyFont="1" applyFill="1" applyBorder="1" applyAlignment="1" applyProtection="1"/>
    <xf numFmtId="0" fontId="6" fillId="4" borderId="1" xfId="0" applyNumberFormat="1" applyFont="1" applyFill="1" applyBorder="1" applyAlignment="1" applyProtection="1">
      <alignment horizontal="center"/>
    </xf>
    <xf numFmtId="0" fontId="6" fillId="12" borderId="3" xfId="0" applyNumberFormat="1" applyFont="1" applyFill="1" applyBorder="1" applyAlignment="1" applyProtection="1">
      <alignment horizontal="center" vertical="center"/>
    </xf>
    <xf numFmtId="0" fontId="6" fillId="12" borderId="4" xfId="0" applyNumberFormat="1" applyFont="1" applyFill="1" applyBorder="1" applyAlignment="1" applyProtection="1">
      <alignment vertical="center"/>
    </xf>
    <xf numFmtId="0" fontId="6" fillId="4" borderId="4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top"/>
    </xf>
  </cellXfs>
  <cellStyles count="1">
    <cellStyle name="Нормален" xfId="0" builtinId="0"/>
  </cellStyles>
  <dxfs count="0"/>
  <tableStyles count="0" defaultTableStyle="TableStyleMedium9" defaultPivotStyle="PivotStyleLight16"/>
  <colors>
    <mruColors>
      <color rgb="FFCC99FF"/>
      <color rgb="FF969696"/>
      <color rgb="FFB2B2B2"/>
      <color rgb="FFC0C0C0"/>
      <color rgb="FF777777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7"/>
  <sheetViews>
    <sheetView tabSelected="1" topLeftCell="B1" zoomScaleNormal="100" workbookViewId="0">
      <selection activeCell="H105" sqref="H105"/>
    </sheetView>
  </sheetViews>
  <sheetFormatPr defaultRowHeight="17.25" x14ac:dyDescent="0.2"/>
  <cols>
    <col min="1" max="1" width="0.85546875" style="1" customWidth="1"/>
    <col min="2" max="2" width="120.85546875" style="1" customWidth="1"/>
    <col min="3" max="3" width="11.28515625" style="1" hidden="1" customWidth="1"/>
    <col min="4" max="4" width="0.140625" style="1" hidden="1" customWidth="1"/>
    <col min="5" max="5" width="11.28515625" style="1" hidden="1" customWidth="1"/>
    <col min="6" max="6" width="12.42578125" style="1" hidden="1" customWidth="1"/>
    <col min="7" max="7" width="9.7109375" style="1" hidden="1" customWidth="1"/>
    <col min="8" max="8" width="21" style="1" customWidth="1"/>
    <col min="9" max="9" width="22" style="1" customWidth="1"/>
    <col min="10" max="10" width="9.140625" style="1"/>
    <col min="11" max="11" width="10.5703125" style="1" bestFit="1" customWidth="1"/>
    <col min="12" max="16384" width="9.140625" style="1"/>
  </cols>
  <sheetData>
    <row r="1" spans="1:8" ht="19.5" customHeight="1" x14ac:dyDescent="0.2"/>
    <row r="2" spans="1:8" ht="21" x14ac:dyDescent="0.2">
      <c r="B2" s="108" t="s">
        <v>74</v>
      </c>
      <c r="C2" s="108"/>
      <c r="D2" s="108"/>
      <c r="E2" s="108"/>
      <c r="F2" s="108"/>
      <c r="G2" s="108"/>
      <c r="H2" s="108"/>
    </row>
    <row r="3" spans="1:8" x14ac:dyDescent="0.2">
      <c r="B3" s="2"/>
      <c r="C3" s="3"/>
      <c r="D3" s="3"/>
      <c r="E3" s="3"/>
      <c r="F3" s="3"/>
      <c r="G3" s="3"/>
      <c r="H3" s="3"/>
    </row>
    <row r="4" spans="1:8" ht="9" hidden="1" customHeight="1" x14ac:dyDescent="0.2"/>
    <row r="5" spans="1:8" ht="38.25" customHeight="1" x14ac:dyDescent="0.2">
      <c r="B5" s="100" t="s">
        <v>5</v>
      </c>
      <c r="C5" s="100" t="s">
        <v>29</v>
      </c>
      <c r="D5" s="101" t="s">
        <v>30</v>
      </c>
      <c r="E5" s="101" t="s">
        <v>31</v>
      </c>
      <c r="F5" s="101" t="s">
        <v>32</v>
      </c>
      <c r="G5" s="101" t="s">
        <v>28</v>
      </c>
      <c r="H5" s="101" t="s">
        <v>72</v>
      </c>
    </row>
    <row r="6" spans="1:8" ht="19.5" customHeight="1" x14ac:dyDescent="0.35">
      <c r="A6" s="4"/>
      <c r="B6" s="102" t="s">
        <v>7</v>
      </c>
      <c r="C6" s="103"/>
      <c r="D6" s="103"/>
      <c r="E6" s="103"/>
      <c r="F6" s="103"/>
      <c r="G6" s="103"/>
      <c r="H6" s="104"/>
    </row>
    <row r="7" spans="1:8" ht="19.5" customHeight="1" x14ac:dyDescent="0.2">
      <c r="A7" s="4"/>
      <c r="B7" s="5" t="s">
        <v>8</v>
      </c>
      <c r="C7" s="6">
        <f>SUM(C8:C8)</f>
        <v>1231574</v>
      </c>
      <c r="D7" s="6">
        <f>SUM(D8:D8)</f>
        <v>1081111</v>
      </c>
      <c r="E7" s="6">
        <f>SUM(E8:E8)</f>
        <v>150463</v>
      </c>
      <c r="F7" s="6">
        <f>SUM(F8:F8)</f>
        <v>1009300</v>
      </c>
      <c r="G7" s="6"/>
      <c r="H7" s="7">
        <f>H8</f>
        <v>1946639</v>
      </c>
    </row>
    <row r="8" spans="1:8" ht="19.5" customHeight="1" x14ac:dyDescent="0.2">
      <c r="A8" s="4"/>
      <c r="B8" s="8" t="s">
        <v>71</v>
      </c>
      <c r="C8" s="9">
        <v>1231574</v>
      </c>
      <c r="D8" s="9">
        <v>1081111</v>
      </c>
      <c r="E8" s="9">
        <f>C8-D8</f>
        <v>150463</v>
      </c>
      <c r="F8" s="10">
        <v>1009300</v>
      </c>
      <c r="G8" s="10"/>
      <c r="H8" s="11">
        <f>1809000+137639</f>
        <v>1946639</v>
      </c>
    </row>
    <row r="9" spans="1:8" ht="19.5" customHeight="1" x14ac:dyDescent="0.2">
      <c r="A9" s="4"/>
      <c r="B9" s="5" t="s">
        <v>9</v>
      </c>
      <c r="C9" s="6">
        <f>SUM(C11:C11)</f>
        <v>55605</v>
      </c>
      <c r="D9" s="6">
        <f>SUM(D11:D11)</f>
        <v>46389</v>
      </c>
      <c r="E9" s="6">
        <f>SUM(E11:E11)</f>
        <v>9216</v>
      </c>
      <c r="F9" s="6">
        <f>SUM(F11:F11)</f>
        <v>58545</v>
      </c>
      <c r="G9" s="6"/>
      <c r="H9" s="12">
        <f>H10+H11+H15+H13+H12</f>
        <v>399741</v>
      </c>
    </row>
    <row r="10" spans="1:8" ht="19.5" customHeight="1" x14ac:dyDescent="0.2">
      <c r="A10" s="4"/>
      <c r="B10" s="8" t="s">
        <v>33</v>
      </c>
      <c r="C10" s="9">
        <v>40880</v>
      </c>
      <c r="D10" s="9">
        <v>37255</v>
      </c>
      <c r="E10" s="9">
        <f>C10-D10</f>
        <v>3625</v>
      </c>
      <c r="F10" s="10">
        <v>40125</v>
      </c>
      <c r="G10" s="10"/>
      <c r="H10" s="13">
        <f>98417+102859</f>
        <v>201276</v>
      </c>
    </row>
    <row r="11" spans="1:8" ht="19.5" customHeight="1" x14ac:dyDescent="0.2">
      <c r="A11" s="4"/>
      <c r="B11" s="8" t="s">
        <v>76</v>
      </c>
      <c r="C11" s="9">
        <v>55605</v>
      </c>
      <c r="D11" s="9">
        <v>46389</v>
      </c>
      <c r="E11" s="14">
        <f>C11-D11</f>
        <v>9216</v>
      </c>
      <c r="F11" s="15">
        <v>58545</v>
      </c>
      <c r="G11" s="15"/>
      <c r="H11" s="13">
        <f>87050+9882</f>
        <v>96932</v>
      </c>
    </row>
    <row r="12" spans="1:8" ht="19.5" customHeight="1" x14ac:dyDescent="0.2">
      <c r="A12" s="4"/>
      <c r="B12" s="8" t="s">
        <v>77</v>
      </c>
      <c r="C12" s="9"/>
      <c r="D12" s="9"/>
      <c r="E12" s="14"/>
      <c r="F12" s="15"/>
      <c r="G12" s="15"/>
      <c r="H12" s="13">
        <f>64423</f>
        <v>64423</v>
      </c>
    </row>
    <row r="13" spans="1:8" ht="19.5" customHeight="1" x14ac:dyDescent="0.2">
      <c r="A13" s="4"/>
      <c r="B13" s="8" t="s">
        <v>78</v>
      </c>
      <c r="C13" s="16"/>
      <c r="D13" s="16"/>
      <c r="E13" s="16"/>
      <c r="F13" s="17"/>
      <c r="G13" s="17"/>
      <c r="H13" s="13">
        <f>1981</f>
        <v>1981</v>
      </c>
    </row>
    <row r="14" spans="1:8" ht="19.5" customHeight="1" x14ac:dyDescent="0.2">
      <c r="A14" s="4"/>
      <c r="B14" s="18" t="s">
        <v>44</v>
      </c>
      <c r="C14" s="9"/>
      <c r="D14" s="9"/>
      <c r="E14" s="9"/>
      <c r="F14" s="10"/>
      <c r="G14" s="10"/>
      <c r="H14" s="19">
        <v>1981</v>
      </c>
    </row>
    <row r="15" spans="1:8" ht="19.5" customHeight="1" x14ac:dyDescent="0.2">
      <c r="A15" s="4"/>
      <c r="B15" s="20" t="s">
        <v>60</v>
      </c>
      <c r="C15" s="9"/>
      <c r="D15" s="9"/>
      <c r="E15" s="9"/>
      <c r="F15" s="10"/>
      <c r="G15" s="10"/>
      <c r="H15" s="13">
        <f>18338+16791</f>
        <v>35129</v>
      </c>
    </row>
    <row r="16" spans="1:8" ht="19.5" customHeight="1" x14ac:dyDescent="0.2">
      <c r="A16" s="4"/>
      <c r="B16" s="5" t="s">
        <v>10</v>
      </c>
      <c r="C16" s="6">
        <f>SUM(C17:C26)</f>
        <v>8683614</v>
      </c>
      <c r="D16" s="6">
        <f>SUM(D17:D26)</f>
        <v>8007099</v>
      </c>
      <c r="E16" s="6">
        <f>SUM(E17:E26)</f>
        <v>676515</v>
      </c>
      <c r="F16" s="6">
        <f>SUM(F17:F26)</f>
        <v>7244414</v>
      </c>
      <c r="G16" s="6">
        <f>G20+G22</f>
        <v>7530</v>
      </c>
      <c r="H16" s="12">
        <f>H17+H19+H20+H22+H23+H24+H25+H26</f>
        <v>16144439</v>
      </c>
    </row>
    <row r="17" spans="1:11" ht="19.5" customHeight="1" x14ac:dyDescent="0.2">
      <c r="A17" s="4"/>
      <c r="B17" s="21" t="s">
        <v>45</v>
      </c>
      <c r="C17" s="9">
        <v>1597849</v>
      </c>
      <c r="D17" s="9">
        <v>1526033</v>
      </c>
      <c r="E17" s="9">
        <f>C17-D17</f>
        <v>71816</v>
      </c>
      <c r="F17" s="15">
        <v>1539876</v>
      </c>
      <c r="G17" s="15"/>
      <c r="H17" s="13">
        <f>4557196-3532+2938+168794</f>
        <v>4725396</v>
      </c>
    </row>
    <row r="18" spans="1:11" ht="19.5" customHeight="1" x14ac:dyDescent="0.2">
      <c r="A18" s="4"/>
      <c r="B18" s="18" t="s">
        <v>44</v>
      </c>
      <c r="C18" s="9"/>
      <c r="D18" s="9"/>
      <c r="E18" s="9"/>
      <c r="F18" s="15"/>
      <c r="G18" s="15"/>
      <c r="H18" s="19">
        <v>6500</v>
      </c>
    </row>
    <row r="19" spans="1:11" ht="19.5" customHeight="1" x14ac:dyDescent="0.2">
      <c r="A19" s="4"/>
      <c r="B19" s="22" t="s">
        <v>35</v>
      </c>
      <c r="C19" s="9">
        <v>167773</v>
      </c>
      <c r="D19" s="9">
        <v>133231</v>
      </c>
      <c r="E19" s="9">
        <f>C19-D19</f>
        <v>34542</v>
      </c>
      <c r="F19" s="15">
        <v>126225</v>
      </c>
      <c r="G19" s="15"/>
      <c r="H19" s="13">
        <f>352114+46831</f>
        <v>398945</v>
      </c>
    </row>
    <row r="20" spans="1:11" ht="19.5" customHeight="1" x14ac:dyDescent="0.2">
      <c r="A20" s="23"/>
      <c r="B20" s="21" t="s">
        <v>79</v>
      </c>
      <c r="C20" s="9">
        <v>6007901</v>
      </c>
      <c r="D20" s="9">
        <v>5486321</v>
      </c>
      <c r="E20" s="9">
        <f>C20-D20</f>
        <v>521580</v>
      </c>
      <c r="F20" s="15">
        <v>4862963</v>
      </c>
      <c r="G20" s="15">
        <v>7530</v>
      </c>
      <c r="H20" s="13">
        <f>8985967-351029+445262+9760+3728</f>
        <v>9093688</v>
      </c>
      <c r="K20" s="24"/>
    </row>
    <row r="21" spans="1:11" ht="19.5" customHeight="1" x14ac:dyDescent="0.2">
      <c r="A21" s="23"/>
      <c r="B21" s="18" t="s">
        <v>44</v>
      </c>
      <c r="C21" s="9"/>
      <c r="D21" s="9"/>
      <c r="E21" s="9"/>
      <c r="F21" s="15"/>
      <c r="G21" s="15"/>
      <c r="H21" s="19">
        <v>920</v>
      </c>
    </row>
    <row r="22" spans="1:11" ht="19.5" customHeight="1" x14ac:dyDescent="0.2">
      <c r="A22" s="4"/>
      <c r="B22" s="8" t="s">
        <v>11</v>
      </c>
      <c r="C22" s="9">
        <v>476589</v>
      </c>
      <c r="D22" s="9">
        <v>447707</v>
      </c>
      <c r="E22" s="9">
        <f>C22-D22</f>
        <v>28882</v>
      </c>
      <c r="F22" s="15">
        <v>448155</v>
      </c>
      <c r="G22" s="15"/>
      <c r="H22" s="13">
        <f>779253-23515+1367</f>
        <v>757105</v>
      </c>
      <c r="J22" s="25"/>
    </row>
    <row r="23" spans="1:11" ht="19.5" customHeight="1" x14ac:dyDescent="0.2">
      <c r="A23" s="4"/>
      <c r="B23" s="8" t="s">
        <v>80</v>
      </c>
      <c r="C23" s="9">
        <v>186358</v>
      </c>
      <c r="D23" s="9">
        <v>167337</v>
      </c>
      <c r="E23" s="9">
        <f>C23-D23</f>
        <v>19021</v>
      </c>
      <c r="F23" s="15">
        <v>177555</v>
      </c>
      <c r="G23" s="15"/>
      <c r="H23" s="13">
        <f>513677+100846</f>
        <v>614523</v>
      </c>
    </row>
    <row r="24" spans="1:11" ht="19.5" customHeight="1" x14ac:dyDescent="0.2">
      <c r="A24" s="4"/>
      <c r="B24" s="8" t="s">
        <v>12</v>
      </c>
      <c r="C24" s="9">
        <v>94282</v>
      </c>
      <c r="D24" s="9">
        <v>94282</v>
      </c>
      <c r="E24" s="9">
        <f>C24-D24</f>
        <v>0</v>
      </c>
      <c r="F24" s="15">
        <v>89640</v>
      </c>
      <c r="G24" s="15"/>
      <c r="H24" s="13">
        <f>84389+11</f>
        <v>84400</v>
      </c>
    </row>
    <row r="25" spans="1:11" ht="19.5" customHeight="1" x14ac:dyDescent="0.2">
      <c r="A25" s="4"/>
      <c r="B25" s="8" t="s">
        <v>48</v>
      </c>
      <c r="C25" s="9"/>
      <c r="D25" s="9"/>
      <c r="E25" s="9"/>
      <c r="F25" s="15"/>
      <c r="G25" s="15"/>
      <c r="H25" s="13">
        <f>344796+59985</f>
        <v>404781</v>
      </c>
    </row>
    <row r="26" spans="1:11" ht="19.5" customHeight="1" x14ac:dyDescent="0.2">
      <c r="A26" s="4"/>
      <c r="B26" s="8" t="s">
        <v>81</v>
      </c>
      <c r="C26" s="9">
        <v>152862</v>
      </c>
      <c r="D26" s="9">
        <v>152188</v>
      </c>
      <c r="E26" s="9">
        <f>C26-D26</f>
        <v>674</v>
      </c>
      <c r="F26" s="10"/>
      <c r="G26" s="10"/>
      <c r="H26" s="13">
        <f>14085+51516</f>
        <v>65601</v>
      </c>
    </row>
    <row r="27" spans="1:11" ht="19.5" customHeight="1" x14ac:dyDescent="0.2">
      <c r="A27" s="4"/>
      <c r="B27" s="5" t="s">
        <v>13</v>
      </c>
      <c r="C27" s="6">
        <f>SUM(C28:C29)</f>
        <v>270525</v>
      </c>
      <c r="D27" s="6">
        <f>SUM(D28:D29)</f>
        <v>218803</v>
      </c>
      <c r="E27" s="6">
        <f>SUM(E28:E29)</f>
        <v>51722</v>
      </c>
      <c r="F27" s="6">
        <f>SUM(F28:F29)</f>
        <v>228472</v>
      </c>
      <c r="G27" s="6"/>
      <c r="H27" s="12">
        <f>H28+H29+H30</f>
        <v>768204</v>
      </c>
    </row>
    <row r="28" spans="1:11" ht="19.5" customHeight="1" x14ac:dyDescent="0.2">
      <c r="A28" s="4"/>
      <c r="B28" s="8" t="s">
        <v>82</v>
      </c>
      <c r="C28" s="9">
        <v>89336</v>
      </c>
      <c r="D28" s="9">
        <v>64021</v>
      </c>
      <c r="E28" s="9">
        <f>C28-D28</f>
        <v>25315</v>
      </c>
      <c r="F28" s="10">
        <v>64294</v>
      </c>
      <c r="G28" s="10"/>
      <c r="H28" s="13">
        <f>143370+21959</f>
        <v>165329</v>
      </c>
    </row>
    <row r="29" spans="1:11" ht="19.5" customHeight="1" x14ac:dyDescent="0.2">
      <c r="A29" s="4"/>
      <c r="B29" s="8" t="s">
        <v>83</v>
      </c>
      <c r="C29" s="9">
        <v>181189</v>
      </c>
      <c r="D29" s="9">
        <v>154782</v>
      </c>
      <c r="E29" s="9">
        <f>C29-D29</f>
        <v>26407</v>
      </c>
      <c r="F29" s="10">
        <v>164178</v>
      </c>
      <c r="G29" s="10"/>
      <c r="H29" s="13">
        <f>319001+224585</f>
        <v>543586</v>
      </c>
    </row>
    <row r="30" spans="1:11" ht="19.5" customHeight="1" x14ac:dyDescent="0.2">
      <c r="A30" s="4"/>
      <c r="B30" s="20" t="s">
        <v>34</v>
      </c>
      <c r="C30" s="9"/>
      <c r="D30" s="9"/>
      <c r="E30" s="9"/>
      <c r="F30" s="10"/>
      <c r="G30" s="10"/>
      <c r="H30" s="13">
        <f>35688+23601</f>
        <v>59289</v>
      </c>
    </row>
    <row r="31" spans="1:11" ht="19.5" customHeight="1" x14ac:dyDescent="0.2">
      <c r="A31" s="4"/>
      <c r="B31" s="5" t="s">
        <v>14</v>
      </c>
      <c r="C31" s="6">
        <f>SUM(C34:C38)</f>
        <v>939986</v>
      </c>
      <c r="D31" s="6">
        <f>SUM(D34:D38)</f>
        <v>839640</v>
      </c>
      <c r="E31" s="6">
        <f>SUM(E34:E38)</f>
        <v>100346</v>
      </c>
      <c r="F31" s="6">
        <f>SUM(F34:F38)</f>
        <v>783874</v>
      </c>
      <c r="G31" s="6"/>
      <c r="H31" s="28">
        <f>H32+H34+H35+H36+H38+H40+H42+H44+H46+H48</f>
        <v>6195227</v>
      </c>
    </row>
    <row r="32" spans="1:11" ht="19.5" customHeight="1" x14ac:dyDescent="0.2">
      <c r="A32" s="4"/>
      <c r="B32" s="29" t="s">
        <v>61</v>
      </c>
      <c r="C32" s="30"/>
      <c r="D32" s="30"/>
      <c r="E32" s="30"/>
      <c r="F32" s="30"/>
      <c r="G32" s="30"/>
      <c r="H32" s="13">
        <f>590976+108602</f>
        <v>699578</v>
      </c>
    </row>
    <row r="33" spans="1:8" ht="19.5" customHeight="1" x14ac:dyDescent="0.2">
      <c r="A33" s="4"/>
      <c r="B33" s="31" t="s">
        <v>41</v>
      </c>
      <c r="C33" s="30"/>
      <c r="D33" s="30"/>
      <c r="E33" s="30"/>
      <c r="F33" s="30"/>
      <c r="G33" s="30"/>
      <c r="H33" s="19">
        <v>10300</v>
      </c>
    </row>
    <row r="34" spans="1:8" ht="19.5" customHeight="1" x14ac:dyDescent="0.2">
      <c r="A34" s="4"/>
      <c r="B34" s="8" t="s">
        <v>84</v>
      </c>
      <c r="C34" s="27"/>
      <c r="D34" s="27"/>
      <c r="E34" s="27"/>
      <c r="F34" s="27"/>
      <c r="G34" s="27"/>
      <c r="H34" s="13">
        <f>283976+7896+51051</f>
        <v>342923</v>
      </c>
    </row>
    <row r="35" spans="1:8" ht="19.5" customHeight="1" x14ac:dyDescent="0.2">
      <c r="A35" s="4"/>
      <c r="B35" s="8" t="s">
        <v>15</v>
      </c>
      <c r="C35" s="27"/>
      <c r="D35" s="27"/>
      <c r="E35" s="27"/>
      <c r="F35" s="27"/>
      <c r="G35" s="27"/>
      <c r="H35" s="13">
        <f>7307</f>
        <v>7307</v>
      </c>
    </row>
    <row r="36" spans="1:8" ht="19.5" customHeight="1" x14ac:dyDescent="0.2">
      <c r="A36" s="4"/>
      <c r="B36" s="8" t="s">
        <v>46</v>
      </c>
      <c r="C36" s="9">
        <v>800055</v>
      </c>
      <c r="D36" s="9">
        <v>701353</v>
      </c>
      <c r="E36" s="9">
        <f>C36-D36</f>
        <v>98702</v>
      </c>
      <c r="F36" s="10">
        <v>644280</v>
      </c>
      <c r="G36" s="10"/>
      <c r="H36" s="13">
        <f>1590960+1146834</f>
        <v>2737794</v>
      </c>
    </row>
    <row r="37" spans="1:8" ht="19.5" customHeight="1" x14ac:dyDescent="0.2">
      <c r="A37" s="4"/>
      <c r="B37" s="31" t="s">
        <v>41</v>
      </c>
      <c r="C37" s="9"/>
      <c r="D37" s="9"/>
      <c r="E37" s="9">
        <f>C37-D37</f>
        <v>0</v>
      </c>
      <c r="F37" s="10"/>
      <c r="G37" s="10"/>
      <c r="H37" s="32">
        <v>207060</v>
      </c>
    </row>
    <row r="38" spans="1:8" ht="19.5" customHeight="1" x14ac:dyDescent="0.2">
      <c r="A38" s="4"/>
      <c r="B38" s="8" t="s">
        <v>16</v>
      </c>
      <c r="C38" s="9">
        <v>139931</v>
      </c>
      <c r="D38" s="9">
        <v>138287</v>
      </c>
      <c r="E38" s="9">
        <f>C38-D38</f>
        <v>1644</v>
      </c>
      <c r="F38" s="10">
        <v>139594</v>
      </c>
      <c r="G38" s="10"/>
      <c r="H38" s="13">
        <f>344708+130228</f>
        <v>474936</v>
      </c>
    </row>
    <row r="39" spans="1:8" ht="19.5" customHeight="1" x14ac:dyDescent="0.2">
      <c r="A39" s="4"/>
      <c r="B39" s="31" t="s">
        <v>41</v>
      </c>
      <c r="C39" s="9"/>
      <c r="D39" s="9"/>
      <c r="E39" s="9"/>
      <c r="F39" s="10"/>
      <c r="G39" s="10"/>
      <c r="H39" s="32">
        <v>87942</v>
      </c>
    </row>
    <row r="40" spans="1:8" ht="19.5" customHeight="1" x14ac:dyDescent="0.2">
      <c r="A40" s="4"/>
      <c r="B40" s="8" t="s">
        <v>85</v>
      </c>
      <c r="C40" s="9">
        <v>116757</v>
      </c>
      <c r="D40" s="9">
        <v>98514</v>
      </c>
      <c r="E40" s="9">
        <f>C40-D40</f>
        <v>18243</v>
      </c>
      <c r="F40" s="10">
        <v>93120</v>
      </c>
      <c r="G40" s="10"/>
      <c r="H40" s="13">
        <f>196840+163247</f>
        <v>360087</v>
      </c>
    </row>
    <row r="41" spans="1:8" ht="19.5" customHeight="1" x14ac:dyDescent="0.2">
      <c r="A41" s="4"/>
      <c r="B41" s="31" t="s">
        <v>41</v>
      </c>
      <c r="C41" s="9"/>
      <c r="D41" s="9"/>
      <c r="E41" s="9"/>
      <c r="F41" s="10"/>
      <c r="G41" s="10"/>
      <c r="H41" s="32">
        <v>53392</v>
      </c>
    </row>
    <row r="42" spans="1:8" ht="19.5" customHeight="1" x14ac:dyDescent="0.2">
      <c r="A42" s="4"/>
      <c r="B42" s="33" t="s">
        <v>52</v>
      </c>
      <c r="C42" s="9"/>
      <c r="D42" s="9"/>
      <c r="E42" s="9"/>
      <c r="F42" s="10"/>
      <c r="G42" s="10"/>
      <c r="H42" s="11">
        <f>228900+345617</f>
        <v>574517</v>
      </c>
    </row>
    <row r="43" spans="1:8" ht="19.5" customHeight="1" x14ac:dyDescent="0.2">
      <c r="A43" s="4"/>
      <c r="B43" s="31" t="s">
        <v>41</v>
      </c>
      <c r="C43" s="9"/>
      <c r="D43" s="9"/>
      <c r="E43" s="9"/>
      <c r="F43" s="10"/>
      <c r="G43" s="10"/>
      <c r="H43" s="32">
        <v>113932</v>
      </c>
    </row>
    <row r="44" spans="1:8" ht="19.5" customHeight="1" x14ac:dyDescent="0.2">
      <c r="A44" s="4"/>
      <c r="B44" s="33" t="s">
        <v>55</v>
      </c>
      <c r="C44" s="9"/>
      <c r="D44" s="9"/>
      <c r="E44" s="9"/>
      <c r="F44" s="10"/>
      <c r="G44" s="10"/>
      <c r="H44" s="11">
        <f>652540+223634</f>
        <v>876174</v>
      </c>
    </row>
    <row r="45" spans="1:8" ht="19.5" customHeight="1" x14ac:dyDescent="0.2">
      <c r="A45" s="4"/>
      <c r="B45" s="31" t="s">
        <v>41</v>
      </c>
      <c r="C45" s="9"/>
      <c r="D45" s="9"/>
      <c r="E45" s="9"/>
      <c r="F45" s="10"/>
      <c r="G45" s="10"/>
      <c r="H45" s="32">
        <v>93249</v>
      </c>
    </row>
    <row r="46" spans="1:8" ht="19.5" customHeight="1" x14ac:dyDescent="0.2">
      <c r="A46" s="4" t="s">
        <v>49</v>
      </c>
      <c r="B46" s="8" t="s">
        <v>56</v>
      </c>
      <c r="C46" s="9"/>
      <c r="D46" s="9"/>
      <c r="E46" s="9"/>
      <c r="F46" s="10"/>
      <c r="G46" s="10"/>
      <c r="H46" s="11">
        <f>120712</f>
        <v>120712</v>
      </c>
    </row>
    <row r="47" spans="1:8" ht="19.5" customHeight="1" x14ac:dyDescent="0.2">
      <c r="A47" s="4"/>
      <c r="B47" s="31" t="s">
        <v>41</v>
      </c>
      <c r="C47" s="9"/>
      <c r="D47" s="9"/>
      <c r="E47" s="9"/>
      <c r="F47" s="10"/>
      <c r="G47" s="10"/>
      <c r="H47" s="32">
        <v>27633</v>
      </c>
    </row>
    <row r="48" spans="1:8" ht="19.5" customHeight="1" x14ac:dyDescent="0.2">
      <c r="A48" s="4"/>
      <c r="B48" s="8" t="s">
        <v>86</v>
      </c>
      <c r="C48" s="9"/>
      <c r="D48" s="9"/>
      <c r="E48" s="9"/>
      <c r="F48" s="10"/>
      <c r="G48" s="10"/>
      <c r="H48" s="13">
        <f>1199</f>
        <v>1199</v>
      </c>
    </row>
    <row r="49" spans="1:8" ht="19.5" customHeight="1" x14ac:dyDescent="0.2">
      <c r="A49" s="4"/>
      <c r="B49" s="5" t="s">
        <v>24</v>
      </c>
      <c r="C49" s="9"/>
      <c r="D49" s="9"/>
      <c r="E49" s="9"/>
      <c r="F49" s="10"/>
      <c r="G49" s="10"/>
      <c r="H49" s="28">
        <f>H50+H52+H54</f>
        <v>587154</v>
      </c>
    </row>
    <row r="50" spans="1:8" ht="19.5" customHeight="1" x14ac:dyDescent="0.2">
      <c r="A50" s="4"/>
      <c r="B50" s="20" t="s">
        <v>1</v>
      </c>
      <c r="C50" s="9"/>
      <c r="D50" s="9"/>
      <c r="E50" s="9"/>
      <c r="F50" s="10"/>
      <c r="G50" s="10"/>
      <c r="H50" s="13">
        <f>9275</f>
        <v>9275</v>
      </c>
    </row>
    <row r="51" spans="1:8" ht="19.5" customHeight="1" x14ac:dyDescent="0.2">
      <c r="A51" s="4"/>
      <c r="B51" s="31" t="s">
        <v>57</v>
      </c>
      <c r="C51" s="9"/>
      <c r="D51" s="9"/>
      <c r="E51" s="9"/>
      <c r="F51" s="10"/>
      <c r="G51" s="10"/>
      <c r="H51" s="19">
        <v>9275</v>
      </c>
    </row>
    <row r="52" spans="1:8" ht="19.5" customHeight="1" x14ac:dyDescent="0.2">
      <c r="A52" s="4"/>
      <c r="B52" s="8" t="s">
        <v>93</v>
      </c>
      <c r="C52" s="9"/>
      <c r="D52" s="9"/>
      <c r="E52" s="9"/>
      <c r="F52" s="10"/>
      <c r="G52" s="10"/>
      <c r="H52" s="13">
        <f>564401</f>
        <v>564401</v>
      </c>
    </row>
    <row r="53" spans="1:8" ht="19.5" customHeight="1" x14ac:dyDescent="0.2">
      <c r="A53" s="4"/>
      <c r="B53" s="31" t="s">
        <v>57</v>
      </c>
      <c r="C53" s="9"/>
      <c r="D53" s="9"/>
      <c r="E53" s="9"/>
      <c r="F53" s="10"/>
      <c r="G53" s="10"/>
      <c r="H53" s="19">
        <v>564401</v>
      </c>
    </row>
    <row r="54" spans="1:8" ht="19.5" customHeight="1" x14ac:dyDescent="0.2">
      <c r="A54" s="4"/>
      <c r="B54" s="8" t="s">
        <v>87</v>
      </c>
      <c r="C54" s="9"/>
      <c r="D54" s="9"/>
      <c r="E54" s="9"/>
      <c r="F54" s="10"/>
      <c r="G54" s="10"/>
      <c r="H54" s="13">
        <f>13478</f>
        <v>13478</v>
      </c>
    </row>
    <row r="55" spans="1:8" ht="19.5" customHeight="1" x14ac:dyDescent="0.2">
      <c r="A55" s="4"/>
      <c r="B55" s="31" t="s">
        <v>41</v>
      </c>
      <c r="C55" s="9"/>
      <c r="D55" s="9"/>
      <c r="E55" s="9"/>
      <c r="F55" s="10"/>
      <c r="G55" s="10"/>
      <c r="H55" s="19">
        <v>13478</v>
      </c>
    </row>
    <row r="56" spans="1:8" ht="19.5" customHeight="1" x14ac:dyDescent="0.2">
      <c r="A56" s="4"/>
      <c r="B56" s="5" t="s">
        <v>17</v>
      </c>
      <c r="C56" s="6">
        <f>SUM(C59:C60)</f>
        <v>371446</v>
      </c>
      <c r="D56" s="6">
        <f>SUM(D59:D60)</f>
        <v>350735</v>
      </c>
      <c r="E56" s="6">
        <f>SUM(E59:E60)</f>
        <v>20711</v>
      </c>
      <c r="F56" s="6">
        <f>SUM(F59:F60)</f>
        <v>346115</v>
      </c>
      <c r="G56" s="6"/>
      <c r="H56" s="28">
        <f>H57+H58+H59+H60</f>
        <v>997896</v>
      </c>
    </row>
    <row r="57" spans="1:8" ht="19.5" customHeight="1" x14ac:dyDescent="0.2">
      <c r="A57" s="4"/>
      <c r="B57" s="29" t="s">
        <v>40</v>
      </c>
      <c r="C57" s="27"/>
      <c r="D57" s="27"/>
      <c r="E57" s="27"/>
      <c r="F57" s="27"/>
      <c r="G57" s="27"/>
      <c r="H57" s="13">
        <f>2346</f>
        <v>2346</v>
      </c>
    </row>
    <row r="58" spans="1:8" ht="19.5" customHeight="1" x14ac:dyDescent="0.2">
      <c r="A58" s="4"/>
      <c r="B58" s="29" t="s">
        <v>88</v>
      </c>
      <c r="C58" s="27"/>
      <c r="D58" s="27"/>
      <c r="E58" s="27"/>
      <c r="F58" s="27"/>
      <c r="G58" s="27"/>
      <c r="H58" s="13">
        <f>61</f>
        <v>61</v>
      </c>
    </row>
    <row r="59" spans="1:8" ht="19.5" customHeight="1" x14ac:dyDescent="0.2">
      <c r="A59" s="4"/>
      <c r="B59" s="8" t="s">
        <v>18</v>
      </c>
      <c r="C59" s="9">
        <v>253597</v>
      </c>
      <c r="D59" s="9">
        <v>252637</v>
      </c>
      <c r="E59" s="9">
        <f>C59-D59</f>
        <v>960</v>
      </c>
      <c r="F59" s="10">
        <v>254144</v>
      </c>
      <c r="G59" s="10"/>
      <c r="H59" s="13">
        <f>606960+9993</f>
        <v>616953</v>
      </c>
    </row>
    <row r="60" spans="1:8" ht="19.5" customHeight="1" x14ac:dyDescent="0.2">
      <c r="A60" s="4"/>
      <c r="B60" s="8" t="s">
        <v>97</v>
      </c>
      <c r="C60" s="9">
        <v>117849</v>
      </c>
      <c r="D60" s="9">
        <v>98098</v>
      </c>
      <c r="E60" s="9">
        <f>C60-D60</f>
        <v>19751</v>
      </c>
      <c r="F60" s="10">
        <v>91971</v>
      </c>
      <c r="G60" s="10"/>
      <c r="H60" s="13">
        <f>253464+91372+35000-1300</f>
        <v>378536</v>
      </c>
    </row>
    <row r="61" spans="1:8" ht="19.5" customHeight="1" x14ac:dyDescent="0.2">
      <c r="A61" s="4"/>
      <c r="B61" s="31" t="s">
        <v>57</v>
      </c>
      <c r="C61" s="9"/>
      <c r="D61" s="9"/>
      <c r="E61" s="9"/>
      <c r="F61" s="10"/>
      <c r="G61" s="10"/>
      <c r="H61" s="19">
        <v>14687</v>
      </c>
    </row>
    <row r="62" spans="1:8" ht="19.5" customHeight="1" x14ac:dyDescent="0.2">
      <c r="A62" s="4"/>
      <c r="B62" s="34" t="s">
        <v>19</v>
      </c>
      <c r="C62" s="9"/>
      <c r="D62" s="9"/>
      <c r="E62" s="9"/>
      <c r="F62" s="10"/>
      <c r="G62" s="10"/>
      <c r="H62" s="28">
        <f>H63+H64</f>
        <v>32504</v>
      </c>
    </row>
    <row r="63" spans="1:8" ht="19.5" customHeight="1" x14ac:dyDescent="0.2">
      <c r="A63" s="4"/>
      <c r="B63" s="20" t="s">
        <v>89</v>
      </c>
      <c r="C63" s="9"/>
      <c r="D63" s="9"/>
      <c r="E63" s="9"/>
      <c r="F63" s="10"/>
      <c r="G63" s="10"/>
      <c r="H63" s="13">
        <f>31959</f>
        <v>31959</v>
      </c>
    </row>
    <row r="64" spans="1:8" ht="19.5" customHeight="1" x14ac:dyDescent="0.2">
      <c r="A64" s="4"/>
      <c r="B64" s="20" t="s">
        <v>64</v>
      </c>
      <c r="C64" s="9"/>
      <c r="D64" s="9"/>
      <c r="E64" s="9"/>
      <c r="F64" s="10"/>
      <c r="G64" s="10"/>
      <c r="H64" s="13">
        <f>545</f>
        <v>545</v>
      </c>
    </row>
    <row r="65" spans="1:9" ht="19.5" customHeight="1" x14ac:dyDescent="0.2">
      <c r="A65" s="4"/>
      <c r="B65" s="35" t="s">
        <v>69</v>
      </c>
      <c r="C65" s="36"/>
      <c r="D65" s="36"/>
      <c r="E65" s="36"/>
      <c r="F65" s="37"/>
      <c r="G65" s="37"/>
      <c r="H65" s="38">
        <f>H14+H18+H21+H33+H37+H39+H41+H43+H45+H47+H51+H55+H61+H53</f>
        <v>1204750</v>
      </c>
    </row>
    <row r="66" spans="1:9" ht="19.5" customHeight="1" x14ac:dyDescent="0.2">
      <c r="A66" s="4"/>
      <c r="B66" s="39" t="s">
        <v>20</v>
      </c>
      <c r="C66" s="40" t="e">
        <f>C7+C9+C16+C27+#REF!+C56+#REF!</f>
        <v>#REF!</v>
      </c>
      <c r="D66" s="40" t="e">
        <f>D7+D9+D16+D27+#REF!+D56+#REF!</f>
        <v>#REF!</v>
      </c>
      <c r="E66" s="40" t="e">
        <f>E7+E9+E16+E27+#REF!+E56+#REF!</f>
        <v>#REF!</v>
      </c>
      <c r="F66" s="40" t="e">
        <f>F7+F9+F16+F27+#REF!+F56</f>
        <v>#REF!</v>
      </c>
      <c r="G66" s="40">
        <f>G16</f>
        <v>7530</v>
      </c>
      <c r="H66" s="41">
        <f>H7+H9+H16+H27+H31+H49+H56+H62</f>
        <v>27071804</v>
      </c>
    </row>
    <row r="67" spans="1:9" ht="16.5" customHeight="1" x14ac:dyDescent="0.2">
      <c r="A67" s="4"/>
      <c r="B67" s="42"/>
      <c r="C67" s="43"/>
      <c r="D67" s="43"/>
      <c r="E67" s="43"/>
      <c r="F67" s="43"/>
      <c r="G67" s="43"/>
      <c r="H67" s="44"/>
    </row>
    <row r="68" spans="1:9" ht="46.5" customHeight="1" x14ac:dyDescent="0.2">
      <c r="A68" s="4"/>
      <c r="B68" s="105" t="s">
        <v>21</v>
      </c>
      <c r="C68" s="106"/>
      <c r="D68" s="106"/>
      <c r="E68" s="106"/>
      <c r="F68" s="106"/>
      <c r="G68" s="106"/>
      <c r="H68" s="101" t="s">
        <v>72</v>
      </c>
    </row>
    <row r="69" spans="1:9" ht="19.5" customHeight="1" x14ac:dyDescent="0.2">
      <c r="A69" s="4"/>
      <c r="B69" s="5" t="s">
        <v>8</v>
      </c>
      <c r="C69" s="45" t="e">
        <f>C71+#REF!+C73</f>
        <v>#REF!</v>
      </c>
      <c r="D69" s="45">
        <f>SUM(D71:D73)</f>
        <v>701850</v>
      </c>
      <c r="E69" s="45">
        <f>SUM(E71:E73)</f>
        <v>0</v>
      </c>
      <c r="F69" s="45">
        <f>SUM(F71:F73)</f>
        <v>0</v>
      </c>
      <c r="G69" s="45"/>
      <c r="H69" s="45">
        <f>H70+H71+H73</f>
        <v>1549655</v>
      </c>
    </row>
    <row r="70" spans="1:9" ht="19.5" customHeight="1" x14ac:dyDescent="0.2">
      <c r="B70" s="29" t="s">
        <v>65</v>
      </c>
      <c r="C70" s="46"/>
      <c r="D70" s="46"/>
      <c r="E70" s="46"/>
      <c r="F70" s="46"/>
      <c r="G70" s="46"/>
      <c r="H70" s="47">
        <v>10882</v>
      </c>
    </row>
    <row r="71" spans="1:9" ht="19.5" customHeight="1" x14ac:dyDescent="0.2">
      <c r="B71" s="20" t="s">
        <v>71</v>
      </c>
      <c r="C71" s="48">
        <v>730068</v>
      </c>
      <c r="D71" s="48">
        <v>557700</v>
      </c>
      <c r="E71" s="48"/>
      <c r="F71" s="49"/>
      <c r="G71" s="49"/>
      <c r="H71" s="47">
        <v>1081782</v>
      </c>
    </row>
    <row r="72" spans="1:9" ht="19.5" customHeight="1" x14ac:dyDescent="0.2">
      <c r="A72" s="50"/>
      <c r="B72" s="18" t="s">
        <v>59</v>
      </c>
      <c r="C72" s="48"/>
      <c r="D72" s="48"/>
      <c r="E72" s="48"/>
      <c r="F72" s="49"/>
      <c r="G72" s="49"/>
      <c r="H72" s="51">
        <v>35883</v>
      </c>
    </row>
    <row r="73" spans="1:9" ht="19.5" customHeight="1" x14ac:dyDescent="0.2">
      <c r="B73" s="20" t="s">
        <v>25</v>
      </c>
      <c r="C73" s="48">
        <v>144310</v>
      </c>
      <c r="D73" s="48">
        <v>144150</v>
      </c>
      <c r="E73" s="48"/>
      <c r="F73" s="49"/>
      <c r="G73" s="49"/>
      <c r="H73" s="47">
        <v>456991</v>
      </c>
    </row>
    <row r="74" spans="1:9" ht="19.5" customHeight="1" x14ac:dyDescent="0.2">
      <c r="B74" s="52" t="s">
        <v>9</v>
      </c>
      <c r="C74" s="53">
        <f>C75+C77+C79</f>
        <v>88000</v>
      </c>
      <c r="D74" s="53">
        <f>D75+D77+D79</f>
        <v>71913</v>
      </c>
      <c r="E74" s="53">
        <f>SUM(E77:E79)</f>
        <v>0</v>
      </c>
      <c r="F74" s="53">
        <f>SUM(F77:F79)</f>
        <v>0</v>
      </c>
      <c r="G74" s="53"/>
      <c r="H74" s="45">
        <f>H75+H77+H79+H82+H81</f>
        <v>321598</v>
      </c>
    </row>
    <row r="75" spans="1:9" ht="19.5" customHeight="1" x14ac:dyDescent="0.2">
      <c r="B75" s="54" t="s">
        <v>33</v>
      </c>
      <c r="C75" s="55">
        <v>28000</v>
      </c>
      <c r="D75" s="55">
        <v>12363</v>
      </c>
      <c r="E75" s="55"/>
      <c r="F75" s="56"/>
      <c r="G75" s="56"/>
      <c r="H75" s="47">
        <v>85118</v>
      </c>
    </row>
    <row r="76" spans="1:9" ht="19.5" customHeight="1" x14ac:dyDescent="0.2">
      <c r="B76" s="18" t="s">
        <v>44</v>
      </c>
      <c r="C76" s="55"/>
      <c r="D76" s="55"/>
      <c r="E76" s="55"/>
      <c r="F76" s="56"/>
      <c r="G76" s="56"/>
      <c r="H76" s="51">
        <v>44215</v>
      </c>
    </row>
    <row r="77" spans="1:9" ht="19.5" customHeight="1" x14ac:dyDescent="0.2">
      <c r="B77" s="8" t="s">
        <v>77</v>
      </c>
      <c r="C77" s="9">
        <v>17608</v>
      </c>
      <c r="D77" s="9">
        <v>17158</v>
      </c>
      <c r="E77" s="9"/>
      <c r="F77" s="49"/>
      <c r="G77" s="49"/>
      <c r="H77" s="47">
        <v>113436</v>
      </c>
      <c r="I77" s="57"/>
    </row>
    <row r="78" spans="1:9" ht="19.5" customHeight="1" x14ac:dyDescent="0.2">
      <c r="B78" s="18" t="s">
        <v>44</v>
      </c>
      <c r="C78" s="9"/>
      <c r="D78" s="9"/>
      <c r="E78" s="9"/>
      <c r="F78" s="49"/>
      <c r="G78" s="49"/>
      <c r="H78" s="51">
        <v>15306</v>
      </c>
    </row>
    <row r="79" spans="1:9" ht="19.5" customHeight="1" x14ac:dyDescent="0.2">
      <c r="B79" s="20" t="s">
        <v>78</v>
      </c>
      <c r="C79" s="48">
        <v>42392</v>
      </c>
      <c r="D79" s="48">
        <v>42392</v>
      </c>
      <c r="E79" s="48">
        <f>C79-D79</f>
        <v>0</v>
      </c>
      <c r="F79" s="49"/>
      <c r="G79" s="49"/>
      <c r="H79" s="47">
        <v>58008</v>
      </c>
    </row>
    <row r="80" spans="1:9" ht="19.5" customHeight="1" x14ac:dyDescent="0.2">
      <c r="B80" s="18" t="s">
        <v>44</v>
      </c>
      <c r="C80" s="48"/>
      <c r="D80" s="48"/>
      <c r="E80" s="48"/>
      <c r="F80" s="49"/>
      <c r="G80" s="49"/>
      <c r="H80" s="51">
        <v>6878</v>
      </c>
    </row>
    <row r="81" spans="2:9" ht="19.5" customHeight="1" x14ac:dyDescent="0.2">
      <c r="B81" s="20" t="s">
        <v>66</v>
      </c>
      <c r="C81" s="48"/>
      <c r="D81" s="48"/>
      <c r="E81" s="48"/>
      <c r="F81" s="49"/>
      <c r="G81" s="49"/>
      <c r="H81" s="47">
        <f>5113</f>
        <v>5113</v>
      </c>
    </row>
    <row r="82" spans="2:9" ht="19.5" customHeight="1" x14ac:dyDescent="0.2">
      <c r="B82" s="58" t="s">
        <v>90</v>
      </c>
      <c r="C82" s="48"/>
      <c r="D82" s="48"/>
      <c r="E82" s="48"/>
      <c r="F82" s="49"/>
      <c r="G82" s="49"/>
      <c r="H82" s="47">
        <f>59923</f>
        <v>59923</v>
      </c>
    </row>
    <row r="83" spans="2:9" ht="19.5" customHeight="1" x14ac:dyDescent="0.2">
      <c r="B83" s="59" t="s">
        <v>10</v>
      </c>
      <c r="C83" s="45">
        <f>SUM(C84:C84)</f>
        <v>778241</v>
      </c>
      <c r="D83" s="45">
        <f>SUM(D84:D84)</f>
        <v>746595</v>
      </c>
      <c r="E83" s="45">
        <f>SUM(E84:E84)</f>
        <v>0</v>
      </c>
      <c r="F83" s="45">
        <f>SUM(F84:F84)</f>
        <v>0</v>
      </c>
      <c r="G83" s="45"/>
      <c r="H83" s="45">
        <f>H86+H84+H88</f>
        <v>358530</v>
      </c>
    </row>
    <row r="84" spans="2:9" ht="19.5" customHeight="1" x14ac:dyDescent="0.2">
      <c r="B84" s="20" t="s">
        <v>45</v>
      </c>
      <c r="C84" s="48">
        <v>778241</v>
      </c>
      <c r="D84" s="48">
        <v>746595</v>
      </c>
      <c r="E84" s="48"/>
      <c r="F84" s="49"/>
      <c r="G84" s="49"/>
      <c r="H84" s="47">
        <v>42726</v>
      </c>
      <c r="I84" s="57"/>
    </row>
    <row r="85" spans="2:9" ht="19.5" customHeight="1" x14ac:dyDescent="0.2">
      <c r="B85" s="18" t="s">
        <v>44</v>
      </c>
      <c r="C85" s="48"/>
      <c r="D85" s="48"/>
      <c r="E85" s="48"/>
      <c r="F85" s="49"/>
      <c r="G85" s="49"/>
      <c r="H85" s="51">
        <v>39246</v>
      </c>
    </row>
    <row r="86" spans="2:9" ht="19.5" customHeight="1" x14ac:dyDescent="0.2">
      <c r="B86" s="21" t="s">
        <v>91</v>
      </c>
      <c r="C86" s="48"/>
      <c r="D86" s="48"/>
      <c r="E86" s="48"/>
      <c r="F86" s="49"/>
      <c r="G86" s="49"/>
      <c r="H86" s="47">
        <v>293975</v>
      </c>
    </row>
    <row r="87" spans="2:9" ht="19.5" customHeight="1" x14ac:dyDescent="0.2">
      <c r="B87" s="18" t="s">
        <v>44</v>
      </c>
      <c r="C87" s="48"/>
      <c r="D87" s="48"/>
      <c r="E87" s="48"/>
      <c r="F87" s="49"/>
      <c r="G87" s="49"/>
      <c r="H87" s="51">
        <v>277030</v>
      </c>
    </row>
    <row r="88" spans="2:9" ht="19.5" customHeight="1" x14ac:dyDescent="0.2">
      <c r="B88" s="20" t="s">
        <v>12</v>
      </c>
      <c r="C88" s="48"/>
      <c r="D88" s="48"/>
      <c r="E88" s="48"/>
      <c r="F88" s="49"/>
      <c r="G88" s="49"/>
      <c r="H88" s="47">
        <v>21829</v>
      </c>
    </row>
    <row r="89" spans="2:9" ht="19.5" customHeight="1" x14ac:dyDescent="0.2">
      <c r="B89" s="59" t="s">
        <v>13</v>
      </c>
      <c r="C89" s="60">
        <f>C91</f>
        <v>153900</v>
      </c>
      <c r="D89" s="60">
        <f>D91</f>
        <v>56901</v>
      </c>
      <c r="E89" s="61"/>
      <c r="F89" s="61"/>
      <c r="G89" s="61"/>
      <c r="H89" s="45">
        <f>H90+H91</f>
        <v>167805</v>
      </c>
    </row>
    <row r="90" spans="2:9" ht="19.5" customHeight="1" x14ac:dyDescent="0.2">
      <c r="B90" s="20" t="s">
        <v>39</v>
      </c>
      <c r="C90" s="62"/>
      <c r="D90" s="62"/>
      <c r="E90" s="63"/>
      <c r="F90" s="63"/>
      <c r="G90" s="63"/>
      <c r="H90" s="47">
        <v>117486</v>
      </c>
      <c r="I90" s="57"/>
    </row>
    <row r="91" spans="2:9" ht="19.5" customHeight="1" x14ac:dyDescent="0.2">
      <c r="B91" s="20" t="s">
        <v>34</v>
      </c>
      <c r="C91" s="48">
        <v>153900</v>
      </c>
      <c r="D91" s="48">
        <v>56901</v>
      </c>
      <c r="E91" s="48"/>
      <c r="F91" s="49"/>
      <c r="G91" s="49"/>
      <c r="H91" s="47">
        <f>50319</f>
        <v>50319</v>
      </c>
    </row>
    <row r="92" spans="2:9" ht="19.5" customHeight="1" x14ac:dyDescent="0.2">
      <c r="B92" s="59" t="s">
        <v>14</v>
      </c>
      <c r="C92" s="45">
        <f>SUM(C93:C94)</f>
        <v>324125</v>
      </c>
      <c r="D92" s="45">
        <f>SUM(D93:D94)</f>
        <v>309106</v>
      </c>
      <c r="E92" s="45">
        <f>SUM(E93:E94)</f>
        <v>0</v>
      </c>
      <c r="F92" s="45">
        <f>SUM(F93:F94)</f>
        <v>0</v>
      </c>
      <c r="G92" s="45"/>
      <c r="H92" s="45">
        <f>H93+H94+H95</f>
        <v>535350</v>
      </c>
    </row>
    <row r="93" spans="2:9" ht="19.5" customHeight="1" x14ac:dyDescent="0.2">
      <c r="B93" s="20" t="s">
        <v>26</v>
      </c>
      <c r="C93" s="48">
        <v>270000</v>
      </c>
      <c r="D93" s="48">
        <v>255728</v>
      </c>
      <c r="E93" s="48"/>
      <c r="F93" s="49"/>
      <c r="G93" s="49"/>
      <c r="H93" s="47">
        <v>518222</v>
      </c>
      <c r="I93" s="57"/>
    </row>
    <row r="94" spans="2:9" ht="19.5" customHeight="1" x14ac:dyDescent="0.2">
      <c r="B94" s="20" t="s">
        <v>47</v>
      </c>
      <c r="C94" s="48">
        <v>54125</v>
      </c>
      <c r="D94" s="48">
        <v>53378</v>
      </c>
      <c r="E94" s="48"/>
      <c r="F94" s="49"/>
      <c r="G94" s="49"/>
      <c r="H94" s="47">
        <v>14572</v>
      </c>
    </row>
    <row r="95" spans="2:9" ht="19.5" customHeight="1" x14ac:dyDescent="0.2">
      <c r="B95" s="8" t="s">
        <v>50</v>
      </c>
      <c r="C95" s="48"/>
      <c r="D95" s="48"/>
      <c r="E95" s="48"/>
      <c r="F95" s="49"/>
      <c r="G95" s="49"/>
      <c r="H95" s="47">
        <v>2556</v>
      </c>
    </row>
    <row r="96" spans="2:9" ht="19.5" customHeight="1" x14ac:dyDescent="0.2">
      <c r="B96" s="59" t="s">
        <v>24</v>
      </c>
      <c r="C96" s="45">
        <f>SUM(C97:C110)</f>
        <v>7185116</v>
      </c>
      <c r="D96" s="45">
        <f>SUM(D97:D110)</f>
        <v>5305506</v>
      </c>
      <c r="E96" s="45">
        <f>SUM(E97:E110)</f>
        <v>0</v>
      </c>
      <c r="F96" s="45">
        <f>SUM(F97:F110)</f>
        <v>0</v>
      </c>
      <c r="G96" s="45"/>
      <c r="H96" s="45">
        <f>H97+H98+H100+H102+H104+H106+H107+H108+H110</f>
        <v>10512013</v>
      </c>
    </row>
    <row r="97" spans="2:9" ht="19.5" customHeight="1" x14ac:dyDescent="0.2">
      <c r="B97" s="20" t="s">
        <v>92</v>
      </c>
      <c r="C97" s="48">
        <v>356254</v>
      </c>
      <c r="D97" s="48">
        <v>205381</v>
      </c>
      <c r="E97" s="48"/>
      <c r="F97" s="49"/>
      <c r="G97" s="49"/>
      <c r="H97" s="64">
        <f>15339</f>
        <v>15339</v>
      </c>
      <c r="I97" s="57"/>
    </row>
    <row r="98" spans="2:9" ht="19.5" customHeight="1" x14ac:dyDescent="0.2">
      <c r="B98" s="20" t="s">
        <v>62</v>
      </c>
      <c r="C98" s="48">
        <v>1026406</v>
      </c>
      <c r="D98" s="48">
        <v>956397</v>
      </c>
      <c r="E98" s="48"/>
      <c r="F98" s="49"/>
      <c r="G98" s="49"/>
      <c r="H98" s="64">
        <v>1042673</v>
      </c>
    </row>
    <row r="99" spans="2:9" ht="19.5" customHeight="1" x14ac:dyDescent="0.2">
      <c r="B99" s="18" t="s">
        <v>59</v>
      </c>
      <c r="C99" s="48"/>
      <c r="D99" s="48"/>
      <c r="E99" s="48"/>
      <c r="F99" s="49"/>
      <c r="G99" s="49"/>
      <c r="H99" s="65">
        <v>528173</v>
      </c>
    </row>
    <row r="100" spans="2:9" ht="19.5" customHeight="1" x14ac:dyDescent="0.2">
      <c r="B100" s="20" t="s">
        <v>63</v>
      </c>
      <c r="C100" s="48">
        <v>453000</v>
      </c>
      <c r="D100" s="48">
        <v>430967</v>
      </c>
      <c r="E100" s="48"/>
      <c r="F100" s="49"/>
      <c r="G100" s="49"/>
      <c r="H100" s="64">
        <v>464815</v>
      </c>
    </row>
    <row r="101" spans="2:9" ht="19.5" customHeight="1" x14ac:dyDescent="0.2">
      <c r="B101" s="18" t="s">
        <v>57</v>
      </c>
      <c r="C101" s="48"/>
      <c r="D101" s="48"/>
      <c r="E101" s="48"/>
      <c r="F101" s="49"/>
      <c r="G101" s="49"/>
      <c r="H101" s="65">
        <v>8671</v>
      </c>
    </row>
    <row r="102" spans="2:9" ht="19.5" customHeight="1" x14ac:dyDescent="0.2">
      <c r="B102" s="20" t="s">
        <v>93</v>
      </c>
      <c r="C102" s="48">
        <v>1362257</v>
      </c>
      <c r="D102" s="48">
        <v>1322831</v>
      </c>
      <c r="E102" s="48"/>
      <c r="F102" s="49"/>
      <c r="G102" s="49"/>
      <c r="H102" s="64">
        <v>2366433</v>
      </c>
    </row>
    <row r="103" spans="2:9" ht="19.5" customHeight="1" x14ac:dyDescent="0.2">
      <c r="B103" s="18" t="s">
        <v>57</v>
      </c>
      <c r="C103" s="48"/>
      <c r="D103" s="48"/>
      <c r="E103" s="48"/>
      <c r="F103" s="49"/>
      <c r="G103" s="49"/>
      <c r="H103" s="65">
        <v>744433</v>
      </c>
    </row>
    <row r="104" spans="2:9" ht="19.5" customHeight="1" x14ac:dyDescent="0.2">
      <c r="B104" s="20" t="s">
        <v>87</v>
      </c>
      <c r="C104" s="48">
        <v>1030770</v>
      </c>
      <c r="D104" s="48">
        <v>730561</v>
      </c>
      <c r="E104" s="48"/>
      <c r="F104" s="49"/>
      <c r="G104" s="49"/>
      <c r="H104" s="66">
        <v>1471860</v>
      </c>
    </row>
    <row r="105" spans="2:9" ht="19.5" customHeight="1" x14ac:dyDescent="0.2">
      <c r="B105" s="18" t="s">
        <v>57</v>
      </c>
      <c r="C105" s="48"/>
      <c r="D105" s="48"/>
      <c r="E105" s="48"/>
      <c r="F105" s="49"/>
      <c r="G105" s="49"/>
      <c r="H105" s="65">
        <v>241617</v>
      </c>
    </row>
    <row r="106" spans="2:9" ht="19.5" customHeight="1" x14ac:dyDescent="0.2">
      <c r="B106" s="20" t="s">
        <v>94</v>
      </c>
      <c r="C106" s="48">
        <v>24700</v>
      </c>
      <c r="D106" s="48">
        <v>18354</v>
      </c>
      <c r="E106" s="48"/>
      <c r="F106" s="49"/>
      <c r="G106" s="49"/>
      <c r="H106" s="64">
        <f>61355</f>
        <v>61355</v>
      </c>
    </row>
    <row r="107" spans="2:9" ht="19.5" customHeight="1" x14ac:dyDescent="0.2">
      <c r="B107" s="20" t="s">
        <v>53</v>
      </c>
      <c r="C107" s="48">
        <v>158933</v>
      </c>
      <c r="D107" s="48">
        <v>70423</v>
      </c>
      <c r="E107" s="48"/>
      <c r="F107" s="49"/>
      <c r="G107" s="49"/>
      <c r="H107" s="64">
        <v>461731</v>
      </c>
    </row>
    <row r="108" spans="2:9" ht="19.5" customHeight="1" x14ac:dyDescent="0.2">
      <c r="B108" s="20" t="s">
        <v>75</v>
      </c>
      <c r="C108" s="48">
        <v>2182320</v>
      </c>
      <c r="D108" s="48">
        <v>1564048</v>
      </c>
      <c r="E108" s="48"/>
      <c r="F108" s="49"/>
      <c r="G108" s="49"/>
      <c r="H108" s="47">
        <v>3440958</v>
      </c>
    </row>
    <row r="109" spans="2:9" ht="19.5" customHeight="1" x14ac:dyDescent="0.2">
      <c r="B109" s="18" t="s">
        <v>57</v>
      </c>
      <c r="C109" s="48"/>
      <c r="D109" s="48"/>
      <c r="E109" s="48"/>
      <c r="F109" s="49"/>
      <c r="G109" s="49"/>
      <c r="H109" s="51">
        <v>145105</v>
      </c>
    </row>
    <row r="110" spans="2:9" ht="19.5" customHeight="1" x14ac:dyDescent="0.2">
      <c r="B110" s="20" t="s">
        <v>95</v>
      </c>
      <c r="C110" s="48">
        <v>590476</v>
      </c>
      <c r="D110" s="48">
        <v>6544</v>
      </c>
      <c r="E110" s="48"/>
      <c r="F110" s="49"/>
      <c r="G110" s="49"/>
      <c r="H110" s="47">
        <v>1186849</v>
      </c>
    </row>
    <row r="111" spans="2:9" ht="19.5" customHeight="1" x14ac:dyDescent="0.2">
      <c r="B111" s="18" t="s">
        <v>44</v>
      </c>
      <c r="C111" s="48"/>
      <c r="D111" s="48"/>
      <c r="E111" s="48"/>
      <c r="F111" s="48"/>
      <c r="G111" s="48"/>
      <c r="H111" s="51">
        <v>164738</v>
      </c>
    </row>
    <row r="112" spans="2:9" ht="19.5" customHeight="1" x14ac:dyDescent="0.2">
      <c r="B112" s="59" t="s">
        <v>17</v>
      </c>
      <c r="C112" s="45">
        <f>SUM(C113:C122)</f>
        <v>1294315</v>
      </c>
      <c r="D112" s="45">
        <f>SUM(D113:D122)</f>
        <v>1078543</v>
      </c>
      <c r="E112" s="45">
        <f>SUM(E113:E122)</f>
        <v>0</v>
      </c>
      <c r="F112" s="45">
        <f>SUM(F113:F122)</f>
        <v>0</v>
      </c>
      <c r="G112" s="45"/>
      <c r="H112" s="45">
        <f>H113+H115+H116+H119+H120+H122+H117</f>
        <v>2012564</v>
      </c>
    </row>
    <row r="113" spans="1:9" ht="19.5" customHeight="1" x14ac:dyDescent="0.2">
      <c r="B113" s="20" t="s">
        <v>96</v>
      </c>
      <c r="C113" s="48">
        <v>873900</v>
      </c>
      <c r="D113" s="48">
        <v>673215</v>
      </c>
      <c r="E113" s="48"/>
      <c r="F113" s="49"/>
      <c r="G113" s="49"/>
      <c r="H113" s="64">
        <v>1041781</v>
      </c>
      <c r="I113" s="57"/>
    </row>
    <row r="114" spans="1:9" ht="19.5" customHeight="1" x14ac:dyDescent="0.2">
      <c r="B114" s="18" t="s">
        <v>44</v>
      </c>
      <c r="C114" s="48"/>
      <c r="D114" s="48"/>
      <c r="E114" s="48"/>
      <c r="F114" s="48"/>
      <c r="G114" s="48"/>
      <c r="H114" s="67">
        <v>87858</v>
      </c>
    </row>
    <row r="115" spans="1:9" ht="19.5" customHeight="1" x14ac:dyDescent="0.2">
      <c r="B115" s="20" t="s">
        <v>58</v>
      </c>
      <c r="C115" s="48"/>
      <c r="D115" s="48"/>
      <c r="E115" s="48"/>
      <c r="F115" s="49"/>
      <c r="G115" s="49"/>
      <c r="H115" s="64">
        <f>397208</f>
        <v>397208</v>
      </c>
    </row>
    <row r="116" spans="1:9" ht="19.5" customHeight="1" x14ac:dyDescent="0.2">
      <c r="B116" s="8" t="s">
        <v>97</v>
      </c>
      <c r="C116" s="48"/>
      <c r="D116" s="48"/>
      <c r="E116" s="48"/>
      <c r="F116" s="49"/>
      <c r="G116" s="49"/>
      <c r="H116" s="64">
        <v>179500</v>
      </c>
    </row>
    <row r="117" spans="1:9" ht="19.5" customHeight="1" x14ac:dyDescent="0.2">
      <c r="A117" s="1" t="s">
        <v>51</v>
      </c>
      <c r="B117" s="20" t="s">
        <v>98</v>
      </c>
      <c r="C117" s="48"/>
      <c r="D117" s="48"/>
      <c r="E117" s="48"/>
      <c r="F117" s="49"/>
      <c r="G117" s="49"/>
      <c r="H117" s="64">
        <f>2250</f>
        <v>2250</v>
      </c>
    </row>
    <row r="118" spans="1:9" ht="19.5" customHeight="1" x14ac:dyDescent="0.2">
      <c r="B118" s="18" t="s">
        <v>44</v>
      </c>
      <c r="C118" s="48"/>
      <c r="D118" s="48"/>
      <c r="E118" s="48"/>
      <c r="F118" s="49"/>
      <c r="G118" s="49"/>
      <c r="H118" s="65">
        <v>2250</v>
      </c>
    </row>
    <row r="119" spans="1:9" ht="19.5" customHeight="1" x14ac:dyDescent="0.2">
      <c r="B119" s="20" t="s">
        <v>2</v>
      </c>
      <c r="C119" s="48">
        <v>131976</v>
      </c>
      <c r="D119" s="48">
        <v>123545</v>
      </c>
      <c r="E119" s="48"/>
      <c r="F119" s="49"/>
      <c r="G119" s="49"/>
      <c r="H119" s="64">
        <v>152467</v>
      </c>
    </row>
    <row r="120" spans="1:9" ht="19.5" customHeight="1" x14ac:dyDescent="0.2">
      <c r="B120" s="20" t="s">
        <v>3</v>
      </c>
      <c r="C120" s="48">
        <v>112143</v>
      </c>
      <c r="D120" s="48">
        <v>106237</v>
      </c>
      <c r="E120" s="48"/>
      <c r="F120" s="49"/>
      <c r="G120" s="49"/>
      <c r="H120" s="64">
        <v>206944</v>
      </c>
    </row>
    <row r="121" spans="1:9" ht="19.5" customHeight="1" x14ac:dyDescent="0.2">
      <c r="B121" s="18" t="s">
        <v>44</v>
      </c>
      <c r="C121" s="48"/>
      <c r="D121" s="48"/>
      <c r="E121" s="48"/>
      <c r="F121" s="49"/>
      <c r="G121" s="49"/>
      <c r="H121" s="67">
        <v>8590</v>
      </c>
    </row>
    <row r="122" spans="1:9" ht="19.5" customHeight="1" x14ac:dyDescent="0.2">
      <c r="B122" s="20" t="s">
        <v>99</v>
      </c>
      <c r="C122" s="48">
        <v>176296</v>
      </c>
      <c r="D122" s="48">
        <v>175546</v>
      </c>
      <c r="E122" s="48"/>
      <c r="F122" s="49"/>
      <c r="G122" s="49"/>
      <c r="H122" s="47">
        <v>32414</v>
      </c>
    </row>
    <row r="123" spans="1:9" ht="19.5" customHeight="1" x14ac:dyDescent="0.2">
      <c r="B123" s="59" t="s">
        <v>19</v>
      </c>
      <c r="C123" s="45">
        <f>SUM(C126:C142)</f>
        <v>2099067</v>
      </c>
      <c r="D123" s="45">
        <f>SUM(D126:D142)</f>
        <v>1789289</v>
      </c>
      <c r="E123" s="45">
        <f>SUM(E126:E142)</f>
        <v>0</v>
      </c>
      <c r="F123" s="45">
        <f>SUM(F126:F142)</f>
        <v>0</v>
      </c>
      <c r="G123" s="45"/>
      <c r="H123" s="45">
        <f>H126+H128+H130+H132+H134+H136+H138+H139+H140+H124+H125</f>
        <v>5051844</v>
      </c>
    </row>
    <row r="124" spans="1:9" ht="19.5" customHeight="1" x14ac:dyDescent="0.2">
      <c r="B124" s="20" t="s">
        <v>67</v>
      </c>
      <c r="C124" s="46"/>
      <c r="D124" s="46"/>
      <c r="E124" s="46"/>
      <c r="F124" s="46"/>
      <c r="G124" s="46"/>
      <c r="H124" s="47">
        <v>2863</v>
      </c>
      <c r="I124" s="57"/>
    </row>
    <row r="125" spans="1:9" ht="19.5" customHeight="1" x14ac:dyDescent="0.2">
      <c r="B125" s="20" t="s">
        <v>73</v>
      </c>
      <c r="C125" s="46"/>
      <c r="D125" s="46"/>
      <c r="E125" s="46"/>
      <c r="F125" s="46"/>
      <c r="G125" s="46"/>
      <c r="H125" s="47">
        <v>5406</v>
      </c>
      <c r="I125" s="57"/>
    </row>
    <row r="126" spans="1:9" ht="19.5" customHeight="1" x14ac:dyDescent="0.2">
      <c r="B126" s="20" t="s">
        <v>100</v>
      </c>
      <c r="C126" s="48">
        <v>550000</v>
      </c>
      <c r="D126" s="48">
        <v>479172</v>
      </c>
      <c r="E126" s="48"/>
      <c r="F126" s="49"/>
      <c r="G126" s="49"/>
      <c r="H126" s="64">
        <v>1240734</v>
      </c>
    </row>
    <row r="127" spans="1:9" ht="19.5" customHeight="1" x14ac:dyDescent="0.2">
      <c r="B127" s="18" t="s">
        <v>44</v>
      </c>
      <c r="C127" s="48"/>
      <c r="D127" s="48"/>
      <c r="E127" s="48"/>
      <c r="F127" s="48"/>
      <c r="G127" s="48"/>
      <c r="H127" s="67">
        <v>22000</v>
      </c>
    </row>
    <row r="128" spans="1:9" ht="19.5" customHeight="1" x14ac:dyDescent="0.2">
      <c r="B128" s="20" t="s">
        <v>101</v>
      </c>
      <c r="C128" s="48">
        <v>158100</v>
      </c>
      <c r="D128" s="48">
        <v>157670</v>
      </c>
      <c r="E128" s="48"/>
      <c r="F128" s="49"/>
      <c r="G128" s="49"/>
      <c r="H128" s="64">
        <v>448659</v>
      </c>
    </row>
    <row r="129" spans="2:12" ht="19.5" customHeight="1" x14ac:dyDescent="0.2">
      <c r="B129" s="18" t="s">
        <v>44</v>
      </c>
      <c r="C129" s="48"/>
      <c r="D129" s="48"/>
      <c r="E129" s="48"/>
      <c r="F129" s="49"/>
      <c r="G129" s="49"/>
      <c r="H129" s="65">
        <v>94354</v>
      </c>
    </row>
    <row r="130" spans="2:12" ht="19.5" customHeight="1" x14ac:dyDescent="0.2">
      <c r="B130" s="20" t="s">
        <v>102</v>
      </c>
      <c r="C130" s="48">
        <v>649570</v>
      </c>
      <c r="D130" s="48">
        <v>646818</v>
      </c>
      <c r="E130" s="48"/>
      <c r="F130" s="49"/>
      <c r="G130" s="49"/>
      <c r="H130" s="64">
        <v>280095</v>
      </c>
      <c r="L130" s="99"/>
    </row>
    <row r="131" spans="2:12" ht="19.5" customHeight="1" x14ac:dyDescent="0.2">
      <c r="B131" s="18" t="s">
        <v>44</v>
      </c>
      <c r="C131" s="48"/>
      <c r="D131" s="48"/>
      <c r="E131" s="48"/>
      <c r="F131" s="49"/>
      <c r="G131" s="49"/>
      <c r="H131" s="65">
        <v>109563</v>
      </c>
    </row>
    <row r="132" spans="2:12" ht="19.5" customHeight="1" x14ac:dyDescent="0.2">
      <c r="B132" s="8" t="s">
        <v>103</v>
      </c>
      <c r="C132" s="48"/>
      <c r="D132" s="48"/>
      <c r="E132" s="48"/>
      <c r="F132" s="49"/>
      <c r="G132" s="49"/>
      <c r="H132" s="64">
        <v>19358</v>
      </c>
    </row>
    <row r="133" spans="2:12" ht="19.5" customHeight="1" x14ac:dyDescent="0.2">
      <c r="B133" s="18" t="s">
        <v>44</v>
      </c>
      <c r="C133" s="48"/>
      <c r="D133" s="48"/>
      <c r="E133" s="48"/>
      <c r="F133" s="49"/>
      <c r="G133" s="49"/>
      <c r="H133" s="65">
        <v>5522</v>
      </c>
    </row>
    <row r="134" spans="2:12" ht="19.5" customHeight="1" x14ac:dyDescent="0.2">
      <c r="B134" s="20" t="s">
        <v>104</v>
      </c>
      <c r="C134" s="48">
        <v>671764</v>
      </c>
      <c r="D134" s="48">
        <v>461186</v>
      </c>
      <c r="E134" s="48"/>
      <c r="F134" s="49"/>
      <c r="G134" s="49"/>
      <c r="H134" s="64">
        <v>877386</v>
      </c>
    </row>
    <row r="135" spans="2:12" ht="19.5" customHeight="1" x14ac:dyDescent="0.2">
      <c r="B135" s="18" t="s">
        <v>44</v>
      </c>
      <c r="C135" s="48"/>
      <c r="D135" s="48"/>
      <c r="E135" s="48"/>
      <c r="F135" s="49"/>
      <c r="G135" s="49"/>
      <c r="H135" s="65">
        <v>1629</v>
      </c>
    </row>
    <row r="136" spans="2:12" ht="19.5" customHeight="1" x14ac:dyDescent="0.2">
      <c r="B136" s="20" t="s">
        <v>0</v>
      </c>
      <c r="C136" s="48">
        <v>44633</v>
      </c>
      <c r="D136" s="48">
        <v>38050</v>
      </c>
      <c r="E136" s="48"/>
      <c r="F136" s="49"/>
      <c r="G136" s="49"/>
      <c r="H136" s="64">
        <v>56093</v>
      </c>
    </row>
    <row r="137" spans="2:12" ht="19.5" customHeight="1" x14ac:dyDescent="0.2">
      <c r="B137" s="18" t="s">
        <v>44</v>
      </c>
      <c r="C137" s="48"/>
      <c r="D137" s="48"/>
      <c r="E137" s="48"/>
      <c r="F137" s="49"/>
      <c r="G137" s="49"/>
      <c r="H137" s="65">
        <v>12698</v>
      </c>
    </row>
    <row r="138" spans="2:12" ht="19.5" customHeight="1" x14ac:dyDescent="0.2">
      <c r="B138" s="20" t="s">
        <v>105</v>
      </c>
      <c r="C138" s="48"/>
      <c r="D138" s="48"/>
      <c r="E138" s="48"/>
      <c r="F138" s="49"/>
      <c r="G138" s="49"/>
      <c r="H138" s="64">
        <v>1880517</v>
      </c>
    </row>
    <row r="139" spans="2:12" ht="19.5" customHeight="1" x14ac:dyDescent="0.2">
      <c r="B139" s="20" t="s">
        <v>27</v>
      </c>
      <c r="C139" s="48">
        <v>25000</v>
      </c>
      <c r="D139" s="48">
        <v>6393</v>
      </c>
      <c r="E139" s="48"/>
      <c r="F139" s="49"/>
      <c r="G139" s="49"/>
      <c r="H139" s="64">
        <v>163482</v>
      </c>
    </row>
    <row r="140" spans="2:12" ht="19.5" customHeight="1" x14ac:dyDescent="0.2">
      <c r="B140" s="8" t="s">
        <v>64</v>
      </c>
      <c r="C140" s="48"/>
      <c r="D140" s="48"/>
      <c r="E140" s="48"/>
      <c r="F140" s="49"/>
      <c r="G140" s="49"/>
      <c r="H140" s="47">
        <v>77251</v>
      </c>
    </row>
    <row r="141" spans="2:12" ht="19.5" customHeight="1" x14ac:dyDescent="0.2">
      <c r="B141" s="59" t="s">
        <v>36</v>
      </c>
      <c r="C141" s="61"/>
      <c r="D141" s="61"/>
      <c r="E141" s="61"/>
      <c r="F141" s="61"/>
      <c r="G141" s="61"/>
      <c r="H141" s="45">
        <f>H142+H143</f>
        <v>101452</v>
      </c>
    </row>
    <row r="142" spans="2:12" ht="19.5" customHeight="1" x14ac:dyDescent="0.2">
      <c r="B142" s="20" t="s">
        <v>37</v>
      </c>
      <c r="C142" s="48"/>
      <c r="D142" s="48"/>
      <c r="E142" s="48"/>
      <c r="F142" s="48"/>
      <c r="G142" s="48"/>
      <c r="H142" s="47">
        <v>1452</v>
      </c>
      <c r="I142" s="57"/>
    </row>
    <row r="143" spans="2:12" ht="19.5" customHeight="1" x14ac:dyDescent="0.2">
      <c r="B143" s="20" t="s">
        <v>38</v>
      </c>
      <c r="C143" s="48"/>
      <c r="D143" s="48"/>
      <c r="E143" s="48"/>
      <c r="F143" s="48"/>
      <c r="G143" s="48"/>
      <c r="H143" s="47">
        <v>100000</v>
      </c>
    </row>
    <row r="144" spans="2:12" ht="19.5" customHeight="1" x14ac:dyDescent="0.2">
      <c r="B144" s="35" t="s">
        <v>70</v>
      </c>
      <c r="C144" s="68"/>
      <c r="D144" s="68"/>
      <c r="E144" s="68"/>
      <c r="F144" s="68"/>
      <c r="G144" s="68"/>
      <c r="H144" s="69">
        <f>H72+H78+H85+H87+H99+H101+H103+H105+H111+H114+H118+H121+H127+H137+H129+H80+H76+H131+H133+H135+H109</f>
        <v>2595759</v>
      </c>
      <c r="K144" s="57"/>
    </row>
    <row r="145" spans="1:35" ht="19.5" customHeight="1" x14ac:dyDescent="0.2">
      <c r="B145" s="70" t="s">
        <v>22</v>
      </c>
      <c r="C145" s="71" t="e">
        <f>C69+C74+C83+C89+C92+C96+C112+C123</f>
        <v>#REF!</v>
      </c>
      <c r="D145" s="71">
        <f>D69+D74+D83+D89+D92+D96+D112+D123+D141</f>
        <v>10059703</v>
      </c>
      <c r="E145" s="71">
        <f>SUM(E71:E139)</f>
        <v>0</v>
      </c>
      <c r="F145" s="71">
        <f>SUM(F71:F139)</f>
        <v>0</v>
      </c>
      <c r="G145" s="71"/>
      <c r="H145" s="72">
        <f>H69+H74+H83+H89+H92+H96+H112+H123+H141</f>
        <v>20610811</v>
      </c>
    </row>
    <row r="146" spans="1:35" ht="20.25" customHeight="1" x14ac:dyDescent="0.2">
      <c r="C146" s="73"/>
      <c r="D146" s="73"/>
      <c r="E146" s="73"/>
      <c r="F146" s="73"/>
      <c r="G146" s="73"/>
      <c r="H146" s="74"/>
    </row>
    <row r="147" spans="1:35" ht="19.5" customHeight="1" x14ac:dyDescent="0.2">
      <c r="B147" s="2"/>
      <c r="C147" s="73"/>
      <c r="D147" s="73"/>
      <c r="E147" s="73"/>
      <c r="F147" s="73"/>
      <c r="G147" s="73"/>
    </row>
    <row r="148" spans="1:35" s="75" customFormat="1" ht="39" customHeight="1" x14ac:dyDescent="0.2">
      <c r="A148" s="2" t="s">
        <v>4</v>
      </c>
      <c r="B148" s="105" t="s">
        <v>6</v>
      </c>
      <c r="C148" s="107"/>
      <c r="D148" s="107"/>
      <c r="E148" s="107"/>
      <c r="F148" s="107"/>
      <c r="G148" s="107"/>
      <c r="H148" s="101" t="s">
        <v>72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s="2" customFormat="1" ht="19.5" customHeight="1" x14ac:dyDescent="0.2">
      <c r="B149" s="59" t="s">
        <v>8</v>
      </c>
      <c r="C149" s="45"/>
      <c r="D149" s="45"/>
      <c r="E149" s="45"/>
      <c r="F149" s="45"/>
      <c r="G149" s="45"/>
      <c r="H149" s="76">
        <f>H150</f>
        <v>2177218</v>
      </c>
    </row>
    <row r="150" spans="1:35" ht="19.5" customHeight="1" x14ac:dyDescent="0.2">
      <c r="B150" s="20" t="s">
        <v>71</v>
      </c>
      <c r="C150" s="48">
        <v>424172</v>
      </c>
      <c r="D150" s="48">
        <v>391353</v>
      </c>
      <c r="E150" s="48">
        <f>C150-D150</f>
        <v>32819</v>
      </c>
      <c r="F150" s="49"/>
      <c r="G150" s="49"/>
      <c r="H150" s="77">
        <v>2177218</v>
      </c>
    </row>
    <row r="151" spans="1:35" ht="19.5" customHeight="1" x14ac:dyDescent="0.2">
      <c r="B151" s="59" t="s">
        <v>10</v>
      </c>
      <c r="C151" s="48"/>
      <c r="D151" s="48"/>
      <c r="E151" s="48"/>
      <c r="F151" s="49"/>
      <c r="G151" s="49"/>
      <c r="H151" s="78">
        <f>H152</f>
        <v>150000</v>
      </c>
    </row>
    <row r="152" spans="1:35" ht="19.5" customHeight="1" x14ac:dyDescent="0.2">
      <c r="B152" s="20" t="s">
        <v>106</v>
      </c>
      <c r="C152" s="48"/>
      <c r="D152" s="48"/>
      <c r="E152" s="48"/>
      <c r="F152" s="49"/>
      <c r="G152" s="49"/>
      <c r="H152" s="47">
        <v>150000</v>
      </c>
    </row>
    <row r="153" spans="1:35" ht="19.5" customHeight="1" x14ac:dyDescent="0.2">
      <c r="B153" s="59" t="s">
        <v>14</v>
      </c>
      <c r="C153" s="79"/>
      <c r="D153" s="79"/>
      <c r="E153" s="79"/>
      <c r="F153" s="79"/>
      <c r="G153" s="79"/>
      <c r="H153" s="45">
        <f>H155+H154</f>
        <v>15850</v>
      </c>
    </row>
    <row r="154" spans="1:35" ht="19.5" customHeight="1" x14ac:dyDescent="0.2">
      <c r="B154" s="20" t="s">
        <v>15</v>
      </c>
      <c r="C154" s="80"/>
      <c r="D154" s="80"/>
      <c r="E154" s="80"/>
      <c r="F154" s="80"/>
      <c r="G154" s="80"/>
      <c r="H154" s="81">
        <v>511</v>
      </c>
    </row>
    <row r="155" spans="1:35" ht="19.5" customHeight="1" x14ac:dyDescent="0.2">
      <c r="B155" s="20" t="s">
        <v>86</v>
      </c>
      <c r="C155" s="80"/>
      <c r="D155" s="80"/>
      <c r="E155" s="80"/>
      <c r="F155" s="80"/>
      <c r="G155" s="80"/>
      <c r="H155" s="81">
        <v>15339</v>
      </c>
    </row>
    <row r="156" spans="1:35" ht="19.5" customHeight="1" x14ac:dyDescent="0.2">
      <c r="B156" s="39" t="s">
        <v>23</v>
      </c>
      <c r="C156" s="82">
        <f>SUM(C150:C154)</f>
        <v>424172</v>
      </c>
      <c r="D156" s="82">
        <f>SUM(D150:D154)</f>
        <v>391353</v>
      </c>
      <c r="E156" s="82">
        <f>SUM(E150:E154)</f>
        <v>32819</v>
      </c>
      <c r="F156" s="82">
        <f>SUM(F150:F154)</f>
        <v>0</v>
      </c>
      <c r="G156" s="82"/>
      <c r="H156" s="83">
        <f>H149+H153+H151</f>
        <v>2343068</v>
      </c>
    </row>
    <row r="157" spans="1:35" ht="19.5" customHeight="1" x14ac:dyDescent="0.2">
      <c r="B157" s="54"/>
      <c r="C157" s="84"/>
      <c r="D157" s="84"/>
      <c r="E157" s="84"/>
      <c r="F157" s="84"/>
      <c r="G157" s="84"/>
      <c r="H157" s="26"/>
    </row>
    <row r="158" spans="1:35" ht="19.5" customHeight="1" x14ac:dyDescent="0.2">
      <c r="B158" s="85" t="s">
        <v>42</v>
      </c>
      <c r="C158" s="86" t="e">
        <f>SUM(C145+C156)</f>
        <v>#REF!</v>
      </c>
      <c r="D158" s="86">
        <f>SUM(D145+D156)</f>
        <v>10451056</v>
      </c>
      <c r="E158" s="86">
        <f>SUM(E145+E156)</f>
        <v>32819</v>
      </c>
      <c r="F158" s="86">
        <f>SUM(F145+F156)</f>
        <v>0</v>
      </c>
      <c r="G158" s="86"/>
      <c r="H158" s="87">
        <f>H66+H145+H156-H65-H144</f>
        <v>46225174</v>
      </c>
      <c r="I158" s="57"/>
    </row>
    <row r="159" spans="1:35" ht="19.5" customHeight="1" x14ac:dyDescent="0.2">
      <c r="B159" s="88" t="s">
        <v>43</v>
      </c>
      <c r="C159" s="49"/>
      <c r="D159" s="49"/>
      <c r="E159" s="49"/>
      <c r="F159" s="49"/>
      <c r="G159" s="49"/>
      <c r="H159" s="89">
        <f>H65+H144</f>
        <v>3800509</v>
      </c>
    </row>
    <row r="160" spans="1:35" ht="24.75" customHeight="1" x14ac:dyDescent="0.2">
      <c r="B160" s="90" t="s">
        <v>68</v>
      </c>
      <c r="C160" s="91"/>
      <c r="D160" s="91"/>
      <c r="E160" s="91"/>
      <c r="F160" s="91"/>
      <c r="G160" s="91"/>
      <c r="H160" s="92">
        <f>H145+H156+H66</f>
        <v>50025683</v>
      </c>
    </row>
    <row r="161" spans="2:8" ht="2.25" hidden="1" customHeight="1" x14ac:dyDescent="0.2">
      <c r="B161" s="93" t="s">
        <v>54</v>
      </c>
      <c r="C161" s="94" t="e">
        <f>C66+C145+C156+#REF!</f>
        <v>#REF!</v>
      </c>
      <c r="D161" s="94" t="e">
        <f>D66+D145+D156+#REF!</f>
        <v>#REF!</v>
      </c>
      <c r="E161" s="94" t="e">
        <f>E66+E145+E156+#REF!</f>
        <v>#REF!</v>
      </c>
      <c r="F161" s="94" t="e">
        <f>F66+F145+F156+#REF!</f>
        <v>#REF!</v>
      </c>
      <c r="G161" s="94"/>
      <c r="H161" s="95"/>
    </row>
    <row r="162" spans="2:8" ht="15.75" hidden="1" customHeight="1" x14ac:dyDescent="0.2">
      <c r="C162" s="73"/>
      <c r="D162" s="73"/>
      <c r="E162" s="73"/>
      <c r="F162" s="73"/>
      <c r="G162" s="73"/>
    </row>
    <row r="163" spans="2:8" ht="16.5" hidden="1" customHeight="1" x14ac:dyDescent="0.2">
      <c r="B163" s="2"/>
      <c r="C163" s="73"/>
      <c r="D163" s="73"/>
      <c r="E163" s="73"/>
      <c r="F163" s="73"/>
      <c r="G163" s="73"/>
    </row>
    <row r="164" spans="2:8" ht="17.25" hidden="1" customHeight="1" x14ac:dyDescent="0.2">
      <c r="B164" s="2"/>
      <c r="C164" s="73"/>
      <c r="D164" s="73"/>
      <c r="E164" s="73"/>
      <c r="F164" s="73"/>
      <c r="G164" s="73"/>
    </row>
    <row r="165" spans="2:8" ht="23.25" customHeight="1" x14ac:dyDescent="0.2">
      <c r="B165" s="2"/>
      <c r="C165" s="73"/>
      <c r="D165" s="73"/>
      <c r="E165" s="73"/>
      <c r="F165" s="73"/>
      <c r="G165" s="73"/>
      <c r="H165" s="57"/>
    </row>
    <row r="166" spans="2:8" ht="23.25" customHeight="1" x14ac:dyDescent="0.2">
      <c r="B166" s="2"/>
      <c r="C166" s="73"/>
      <c r="D166" s="73"/>
      <c r="E166" s="73"/>
      <c r="F166" s="73"/>
      <c r="G166" s="73"/>
      <c r="H166" s="57"/>
    </row>
    <row r="167" spans="2:8" ht="23.25" customHeight="1" x14ac:dyDescent="0.2">
      <c r="B167" s="2"/>
      <c r="C167" s="73"/>
      <c r="D167" s="73"/>
      <c r="E167" s="73"/>
      <c r="F167" s="73"/>
      <c r="G167" s="73"/>
      <c r="H167" s="57"/>
    </row>
    <row r="168" spans="2:8" ht="23.25" customHeight="1" x14ac:dyDescent="0.2">
      <c r="B168" s="50"/>
      <c r="C168" s="73"/>
      <c r="D168" s="73"/>
      <c r="E168" s="73"/>
      <c r="F168" s="73"/>
      <c r="G168" s="73"/>
      <c r="H168" s="57"/>
    </row>
    <row r="169" spans="2:8" ht="15.75" customHeight="1" x14ac:dyDescent="0.2">
      <c r="B169" s="96"/>
      <c r="C169" s="73"/>
      <c r="D169" s="73"/>
      <c r="E169" s="73"/>
      <c r="F169" s="73"/>
      <c r="G169" s="73"/>
      <c r="H169" s="57"/>
    </row>
    <row r="170" spans="2:8" ht="23.25" customHeight="1" x14ac:dyDescent="0.2">
      <c r="C170" s="73"/>
      <c r="D170" s="73"/>
      <c r="E170" s="73"/>
      <c r="F170" s="73"/>
      <c r="G170" s="73"/>
      <c r="H170" s="57"/>
    </row>
    <row r="171" spans="2:8" ht="4.5" customHeight="1" x14ac:dyDescent="0.2">
      <c r="C171" s="73"/>
      <c r="D171" s="73"/>
      <c r="E171" s="73"/>
      <c r="F171" s="73"/>
      <c r="G171" s="73"/>
      <c r="H171" s="57"/>
    </row>
    <row r="172" spans="2:8" ht="21.75" customHeight="1" x14ac:dyDescent="0.2">
      <c r="C172" s="73"/>
      <c r="D172" s="73"/>
      <c r="E172" s="73"/>
      <c r="F172" s="73"/>
      <c r="G172" s="73"/>
      <c r="H172" s="57"/>
    </row>
    <row r="173" spans="2:8" ht="21.75" customHeight="1" x14ac:dyDescent="0.2">
      <c r="C173" s="73"/>
      <c r="D173" s="73"/>
      <c r="E173" s="73"/>
      <c r="F173" s="73"/>
      <c r="G173" s="73"/>
      <c r="H173" s="57"/>
    </row>
    <row r="174" spans="2:8" ht="21" customHeight="1" x14ac:dyDescent="0.2">
      <c r="C174" s="73"/>
      <c r="D174" s="73"/>
      <c r="E174" s="73"/>
      <c r="F174" s="73"/>
      <c r="G174" s="73"/>
      <c r="H174" s="57"/>
    </row>
    <row r="175" spans="2:8" ht="12.75" hidden="1" customHeight="1" x14ac:dyDescent="0.2">
      <c r="C175" s="73"/>
      <c r="D175" s="73"/>
      <c r="E175" s="73"/>
      <c r="F175" s="73"/>
      <c r="G175" s="73"/>
    </row>
    <row r="176" spans="2:8" ht="15.75" hidden="1" customHeight="1" x14ac:dyDescent="0.2">
      <c r="C176" s="97"/>
      <c r="D176" s="97"/>
      <c r="E176" s="97"/>
      <c r="F176" s="97"/>
      <c r="G176" s="97"/>
    </row>
    <row r="177" spans="2:5" ht="15" hidden="1" customHeight="1" x14ac:dyDescent="0.2"/>
    <row r="178" spans="2:5" ht="15" hidden="1" customHeight="1" x14ac:dyDescent="0.2"/>
    <row r="179" spans="2:5" ht="15" hidden="1" customHeight="1" x14ac:dyDescent="0.2"/>
    <row r="180" spans="2:5" ht="14.25" hidden="1" customHeight="1" x14ac:dyDescent="0.2">
      <c r="B180" s="50"/>
    </row>
    <row r="181" spans="2:5" ht="14.25" customHeight="1" x14ac:dyDescent="0.2">
      <c r="B181" s="50"/>
    </row>
    <row r="182" spans="2:5" ht="4.5" customHeight="1" x14ac:dyDescent="0.2">
      <c r="B182" s="50"/>
    </row>
    <row r="183" spans="2:5" ht="22.5" customHeight="1" x14ac:dyDescent="0.2"/>
    <row r="184" spans="2:5" ht="6.75" customHeight="1" x14ac:dyDescent="0.2"/>
    <row r="185" spans="2:5" ht="21" customHeight="1" x14ac:dyDescent="0.2"/>
    <row r="186" spans="2:5" ht="13.5" customHeight="1" x14ac:dyDescent="0.2">
      <c r="B186" s="50"/>
    </row>
    <row r="187" spans="2:5" ht="21" customHeight="1" x14ac:dyDescent="0.2"/>
    <row r="188" spans="2:5" ht="21" customHeight="1" x14ac:dyDescent="0.2">
      <c r="B188" s="96"/>
    </row>
    <row r="189" spans="2:5" x14ac:dyDescent="0.2">
      <c r="B189" s="98"/>
      <c r="C189" s="2"/>
      <c r="D189" s="2"/>
      <c r="E189" s="2"/>
    </row>
    <row r="190" spans="2:5" ht="19.5" customHeight="1" x14ac:dyDescent="0.2">
      <c r="C190" s="50"/>
      <c r="D190" s="50"/>
      <c r="E190" s="50"/>
    </row>
    <row r="191" spans="2:5" ht="19.5" customHeight="1" x14ac:dyDescent="0.2"/>
    <row r="194" spans="2:5" ht="18.75" customHeight="1" x14ac:dyDescent="0.2"/>
    <row r="195" spans="2:5" ht="17.25" customHeight="1" x14ac:dyDescent="0.2">
      <c r="C195" s="2"/>
      <c r="D195" s="2"/>
      <c r="E195" s="2"/>
    </row>
    <row r="203" spans="2:5" x14ac:dyDescent="0.2">
      <c r="B203" s="2"/>
      <c r="C203" s="2"/>
      <c r="D203" s="2"/>
      <c r="E203" s="2"/>
    </row>
    <row r="207" spans="2:5" x14ac:dyDescent="0.2">
      <c r="B207" s="2"/>
      <c r="C207" s="2"/>
      <c r="D207" s="2"/>
      <c r="E207" s="2"/>
    </row>
  </sheetData>
  <mergeCells count="1">
    <mergeCell ref="B2:H2"/>
  </mergeCells>
  <phoneticPr fontId="1" type="noConversion"/>
  <pageMargins left="0.23622047244094491" right="0" top="0.74803149606299213" bottom="0.74803149606299213" header="0.31496062992125984" footer="0.31496062992125984"/>
  <pageSetup paperSize="9" scale="70" orientation="portrait" r:id="rId1"/>
  <headerFooter alignWithMargins="0"/>
  <ignoredErrors>
    <ignoredError sqref="E9 E5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разходи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budjet</cp:lastModifiedBy>
  <cp:lastPrinted>2026-08-12T07:27:48Z</cp:lastPrinted>
  <dcterms:created xsi:type="dcterms:W3CDTF">2009-06-03T13:30:51Z</dcterms:created>
  <dcterms:modified xsi:type="dcterms:W3CDTF">2026-08-12T12:53:37Z</dcterms:modified>
</cp:coreProperties>
</file>